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05" windowWidth="20385" windowHeight="10005" tabRatio="945"/>
  </bookViews>
  <sheets>
    <sheet name="Doc" sheetId="82" r:id="rId1"/>
    <sheet name="2 Pile Cap" sheetId="83" r:id="rId2"/>
    <sheet name="3 Pile Cap" sheetId="81" r:id="rId3"/>
    <sheet name="4 Pile Cap" sheetId="51" r:id="rId4"/>
    <sheet name="5 Pile Cap" sheetId="53" r:id="rId5"/>
    <sheet name="6 Pile Cap" sheetId="55" r:id="rId6"/>
    <sheet name="7 Pile Cap" sheetId="60" r:id="rId7"/>
    <sheet name="8 Pile Cap" sheetId="61" r:id="rId8"/>
    <sheet name="9 Pile Cap" sheetId="58" r:id="rId9"/>
    <sheet name="10 Pile Cap" sheetId="62" r:id="rId10"/>
    <sheet name="11 Pile Cap" sheetId="63" r:id="rId11"/>
    <sheet name="12 Pile Cap" sheetId="64" r:id="rId12"/>
    <sheet name="13 Pile Cap" sheetId="65" r:id="rId13"/>
    <sheet name="14 Pile Cap" sheetId="66" r:id="rId14"/>
    <sheet name="15 Pile Cap" sheetId="67" r:id="rId15"/>
    <sheet name="16 Pile Cap" sheetId="59" r:id="rId16"/>
    <sheet name="17 Pile Cap" sheetId="68" r:id="rId17"/>
    <sheet name="18 Pile Cap" sheetId="70" r:id="rId18"/>
    <sheet name="19 Pile Cap" sheetId="69" r:id="rId19"/>
    <sheet name="20 Pile Cap" sheetId="71" r:id="rId20"/>
    <sheet name="21 Pile Cap" sheetId="80" r:id="rId21"/>
    <sheet name="22 Pile Cap" sheetId="77" r:id="rId22"/>
    <sheet name="23 Pile Cap" sheetId="78" r:id="rId23"/>
    <sheet name="24 Pile Cap" sheetId="72" r:id="rId24"/>
    <sheet name="26 Pile Cap" sheetId="79" r:id="rId25"/>
    <sheet name="28 Pile Cap" sheetId="75" r:id="rId26"/>
    <sheet name="30 Pile Cap" sheetId="74" r:id="rId27"/>
  </sheets>
  <definedNames>
    <definedName name="_xlnm.Print_Area" localSheetId="9">'10 Pile Cap'!$A$1:$AL$207</definedName>
    <definedName name="_xlnm.Print_Area" localSheetId="10">'11 Pile Cap'!$A$1:$AI$207</definedName>
    <definedName name="_xlnm.Print_Area" localSheetId="11">'12 Pile Cap'!$A$1:$AL$207</definedName>
    <definedName name="_xlnm.Print_Area" localSheetId="12">'13 Pile Cap'!$A$1:$AL$207</definedName>
    <definedName name="_xlnm.Print_Area" localSheetId="13">'14 Pile Cap'!$A$1:$I$207</definedName>
    <definedName name="_xlnm.Print_Area" localSheetId="14">'15 Pile Cap'!$A$1:$AK$207</definedName>
    <definedName name="_xlnm.Print_Area" localSheetId="15">'16 Pile Cap'!$A$1:$I$207</definedName>
    <definedName name="_xlnm.Print_Area" localSheetId="16">'17 Pile Cap'!$A$1:$AF$207</definedName>
    <definedName name="_xlnm.Print_Area" localSheetId="17">'18 Pile Cap'!$A$1:$AL$207</definedName>
    <definedName name="_xlnm.Print_Area" localSheetId="18">'19 Pile Cap'!$A$1:$AL$207</definedName>
    <definedName name="_xlnm.Print_Area" localSheetId="1">'2 Pile Cap'!$A$1:$I$170</definedName>
    <definedName name="_xlnm.Print_Area" localSheetId="19">'20 Pile Cap'!$A$1:$AL$207</definedName>
    <definedName name="_xlnm.Print_Area" localSheetId="20">'21 Pile Cap'!$A$1:$AH$207</definedName>
    <definedName name="_xlnm.Print_Area" localSheetId="21">'22 Pile Cap'!$A$1:$AF$207</definedName>
    <definedName name="_xlnm.Print_Area" localSheetId="22">'23 Pile Cap'!$A$1:$AK$207</definedName>
    <definedName name="_xlnm.Print_Area" localSheetId="23">'24 Pile Cap'!$A$1:$AL$207</definedName>
    <definedName name="_xlnm.Print_Area" localSheetId="24">'26 Pile Cap'!$A$1:$AL$207</definedName>
    <definedName name="_xlnm.Print_Area" localSheetId="25">'28 Pile Cap'!$A$1:$AL$207</definedName>
    <definedName name="_xlnm.Print_Area" localSheetId="2">'3 Pile Cap'!$A$1:$AL$207</definedName>
    <definedName name="_xlnm.Print_Area" localSheetId="26">'30 Pile Cap'!$A$1:$I$207</definedName>
    <definedName name="_xlnm.Print_Area" localSheetId="3">'4 Pile Cap'!$A$1:$AE$207</definedName>
    <definedName name="_xlnm.Print_Area" localSheetId="4">'5 Pile Cap'!$A$1:$AM$207</definedName>
    <definedName name="_xlnm.Print_Area" localSheetId="5">'6 Pile Cap'!$A$1:$AL$207</definedName>
    <definedName name="_xlnm.Print_Area" localSheetId="6">'7 Pile Cap'!$A$1:$AL$207</definedName>
    <definedName name="_xlnm.Print_Area" localSheetId="7">'8 Pile Cap'!$A$1:$AL$207</definedName>
    <definedName name="_xlnm.Print_Area" localSheetId="8">'9 Pile Cap'!$A$1:$I$207</definedName>
    <definedName name="_xlnm.Print_Area" localSheetId="0">Doc!$A$1:$K$165</definedName>
  </definedNames>
  <calcPr calcId="145621"/>
</workbook>
</file>

<file path=xl/calcChain.xml><?xml version="1.0" encoding="utf-8"?>
<calcChain xmlns="http://schemas.openxmlformats.org/spreadsheetml/2006/main">
  <c r="C180" i="74" l="1"/>
  <c r="F180" i="74" s="1"/>
  <c r="D176" i="74"/>
  <c r="D172" i="74"/>
  <c r="D172" i="75"/>
  <c r="D176" i="75"/>
  <c r="D172" i="79"/>
  <c r="D176" i="79"/>
  <c r="D172" i="72"/>
  <c r="D176" i="72" l="1"/>
  <c r="D172" i="78"/>
  <c r="D176" i="78" l="1"/>
  <c r="D172" i="77"/>
  <c r="D176" i="77"/>
  <c r="D172" i="80"/>
  <c r="D176" i="80"/>
  <c r="D172" i="71"/>
  <c r="B98" i="80"/>
  <c r="B100" i="80"/>
  <c r="C40" i="80"/>
  <c r="C41" i="80" s="1"/>
  <c r="C42" i="80" s="1"/>
  <c r="D176" i="71" l="1"/>
  <c r="D172" i="69"/>
  <c r="D176" i="69" l="1"/>
  <c r="D172" i="70"/>
  <c r="D176" i="70" l="1"/>
  <c r="D172" i="68"/>
  <c r="D176" i="68" l="1"/>
  <c r="D172" i="59"/>
  <c r="D176" i="59" l="1"/>
  <c r="D172" i="67"/>
  <c r="D176" i="67"/>
  <c r="D172" i="66"/>
  <c r="D176" i="66" l="1"/>
  <c r="D172" i="65"/>
  <c r="C40" i="66" l="1"/>
  <c r="C41" i="66" s="1"/>
  <c r="C42" i="66" s="1"/>
  <c r="D176" i="65" l="1"/>
  <c r="D172" i="64"/>
  <c r="C180" i="64" l="1"/>
  <c r="F180" i="64" s="1"/>
  <c r="D176" i="64"/>
  <c r="D172" i="63"/>
  <c r="D176" i="63" l="1"/>
  <c r="D172" i="62"/>
  <c r="D176" i="62" l="1"/>
  <c r="D172" i="58"/>
  <c r="D176" i="58" l="1"/>
  <c r="D172" i="61"/>
  <c r="D176" i="61" l="1"/>
  <c r="D172" i="60"/>
  <c r="C63" i="61"/>
  <c r="C61" i="61"/>
  <c r="C57" i="61"/>
  <c r="C58" i="61" l="1"/>
  <c r="C59" i="61" s="1"/>
  <c r="C60" i="61" s="1"/>
  <c r="C64" i="61" s="1"/>
  <c r="D176" i="60"/>
  <c r="D172" i="55"/>
  <c r="D176" i="55" l="1"/>
  <c r="D172" i="53"/>
  <c r="D176" i="53" l="1"/>
  <c r="D172" i="51"/>
  <c r="C57" i="51"/>
  <c r="C58" i="51"/>
  <c r="C59" i="51"/>
  <c r="C60" i="51" s="1"/>
  <c r="C64" i="51" s="1"/>
  <c r="C61" i="51"/>
  <c r="C63" i="51"/>
  <c r="D176" i="51" l="1"/>
  <c r="D172" i="81"/>
  <c r="D131" i="83" l="1"/>
  <c r="D135" i="83" l="1"/>
  <c r="B135" i="83"/>
  <c r="B136" i="83" s="1"/>
  <c r="B132" i="83"/>
  <c r="B131" i="83"/>
  <c r="B100" i="83"/>
  <c r="O101" i="83" s="1"/>
  <c r="O91" i="83"/>
  <c r="B89" i="83"/>
  <c r="C63" i="83"/>
  <c r="C45" i="83"/>
  <c r="K36" i="83"/>
  <c r="M29" i="83"/>
  <c r="A28" i="83"/>
  <c r="L27" i="83"/>
  <c r="L22" i="83"/>
  <c r="C22" i="83"/>
  <c r="C77" i="83" s="1"/>
  <c r="P21" i="83"/>
  <c r="C81" i="83" s="1"/>
  <c r="L21" i="83"/>
  <c r="M20" i="83"/>
  <c r="G136" i="83" s="1"/>
  <c r="C19" i="83"/>
  <c r="N18" i="83"/>
  <c r="M18" i="83"/>
  <c r="C18" i="83"/>
  <c r="C61" i="83" s="1"/>
  <c r="N17" i="83"/>
  <c r="M17" i="83"/>
  <c r="C17" i="83"/>
  <c r="N16" i="83"/>
  <c r="M16" i="83"/>
  <c r="N15" i="83"/>
  <c r="M15" i="83"/>
  <c r="N14" i="83"/>
  <c r="L14" i="83"/>
  <c r="M14" i="83" s="1"/>
  <c r="C14" i="83"/>
  <c r="C25" i="83" s="1"/>
  <c r="N13" i="83"/>
  <c r="L13" i="83"/>
  <c r="M13" i="83" s="1"/>
  <c r="C13" i="83"/>
  <c r="N12" i="83"/>
  <c r="L12" i="83"/>
  <c r="M12" i="83" s="1"/>
  <c r="N11" i="83"/>
  <c r="M11" i="83"/>
  <c r="L11" i="83"/>
  <c r="M10" i="83"/>
  <c r="L10" i="83"/>
  <c r="N10" i="83" s="1"/>
  <c r="M19" i="83" s="1"/>
  <c r="G132" i="83" s="1"/>
  <c r="L9" i="83"/>
  <c r="N9" i="83" s="1"/>
  <c r="E81" i="83" l="1"/>
  <c r="E30" i="83"/>
  <c r="E63" i="83"/>
  <c r="C70" i="83"/>
  <c r="C74" i="83"/>
  <c r="O99" i="83"/>
  <c r="B109" i="83"/>
  <c r="G131" i="83"/>
  <c r="B133" i="83" s="1"/>
  <c r="M9" i="83"/>
  <c r="C21" i="83"/>
  <c r="C27" i="83"/>
  <c r="M32" i="83" s="1"/>
  <c r="M33" i="83" s="1"/>
  <c r="C47" i="83"/>
  <c r="C79" i="83"/>
  <c r="E31" i="83" s="1"/>
  <c r="B86" i="83"/>
  <c r="O88" i="83"/>
  <c r="B128" i="83"/>
  <c r="P22" i="83"/>
  <c r="C26" i="83"/>
  <c r="N15" i="81"/>
  <c r="N16" i="81"/>
  <c r="N17" i="81"/>
  <c r="N18" i="81"/>
  <c r="C17" i="81"/>
  <c r="C48" i="83" l="1"/>
  <c r="C49" i="83" s="1"/>
  <c r="B87" i="83"/>
  <c r="M86" i="83"/>
  <c r="E88" i="83" s="1"/>
  <c r="B93" i="83" s="1"/>
  <c r="B98" i="83"/>
  <c r="B101" i="83" s="1"/>
  <c r="B102" i="83" s="1"/>
  <c r="B103" i="83" s="1"/>
  <c r="M34" i="83"/>
  <c r="G135" i="83"/>
  <c r="B137" i="83" s="1"/>
  <c r="C139" i="83" s="1"/>
  <c r="F139" i="83" s="1"/>
  <c r="C57" i="83"/>
  <c r="C58" i="83" s="1"/>
  <c r="C52" i="83"/>
  <c r="C51" i="83"/>
  <c r="C53" i="83" s="1"/>
  <c r="C54" i="83"/>
  <c r="C46" i="83"/>
  <c r="C40" i="83"/>
  <c r="C41" i="83" s="1"/>
  <c r="C42" i="83" s="1"/>
  <c r="C75" i="83"/>
  <c r="C76" i="83" s="1"/>
  <c r="M20" i="58"/>
  <c r="M20" i="81"/>
  <c r="N18" i="74"/>
  <c r="M18" i="74"/>
  <c r="N18" i="75"/>
  <c r="M18" i="75"/>
  <c r="N18" i="79"/>
  <c r="M18" i="79"/>
  <c r="N18" i="72"/>
  <c r="M18" i="72"/>
  <c r="N18" i="78"/>
  <c r="M18" i="78"/>
  <c r="N18" i="77"/>
  <c r="M18" i="77"/>
  <c r="N18" i="80"/>
  <c r="M18" i="80"/>
  <c r="N18" i="71"/>
  <c r="M18" i="71"/>
  <c r="N18" i="69"/>
  <c r="M18" i="69"/>
  <c r="N18" i="70"/>
  <c r="M18" i="70"/>
  <c r="N18" i="68"/>
  <c r="M18" i="68"/>
  <c r="N18" i="59"/>
  <c r="M18" i="59"/>
  <c r="N18" i="67"/>
  <c r="M18" i="67"/>
  <c r="N18" i="66"/>
  <c r="M18" i="66"/>
  <c r="N18" i="65"/>
  <c r="M18" i="65"/>
  <c r="N18" i="64"/>
  <c r="M18" i="64"/>
  <c r="N18" i="63"/>
  <c r="M18" i="63"/>
  <c r="N18" i="62"/>
  <c r="M20" i="62" s="1"/>
  <c r="M18" i="62"/>
  <c r="N18" i="58"/>
  <c r="M18" i="58"/>
  <c r="N18" i="61"/>
  <c r="M18" i="61"/>
  <c r="N18" i="60"/>
  <c r="M20" i="60" s="1"/>
  <c r="M18" i="60"/>
  <c r="N18" i="55"/>
  <c r="M18" i="55"/>
  <c r="N18" i="53"/>
  <c r="M18" i="53"/>
  <c r="N18" i="51"/>
  <c r="M18" i="51"/>
  <c r="M18" i="81"/>
  <c r="P21" i="74"/>
  <c r="P21" i="75"/>
  <c r="P21" i="79"/>
  <c r="P21" i="72"/>
  <c r="P21" i="78"/>
  <c r="P21" i="77"/>
  <c r="P21" i="80"/>
  <c r="P21" i="71"/>
  <c r="P21" i="69"/>
  <c r="P21" i="70"/>
  <c r="P21" i="68"/>
  <c r="P21" i="59"/>
  <c r="P21" i="67"/>
  <c r="P21" i="66"/>
  <c r="P21" i="65"/>
  <c r="P21" i="64"/>
  <c r="P21" i="63"/>
  <c r="P21" i="62"/>
  <c r="P21" i="58"/>
  <c r="P21" i="61"/>
  <c r="P21" i="60"/>
  <c r="P21" i="55"/>
  <c r="P21" i="53"/>
  <c r="P21" i="51"/>
  <c r="P21" i="81"/>
  <c r="L21" i="74"/>
  <c r="L21" i="75"/>
  <c r="L21" i="79"/>
  <c r="L21" i="72"/>
  <c r="L21" i="78"/>
  <c r="L21" i="77"/>
  <c r="L21" i="80"/>
  <c r="L21" i="71"/>
  <c r="L21" i="69"/>
  <c r="L21" i="70"/>
  <c r="L21" i="68"/>
  <c r="L21" i="59"/>
  <c r="L21" i="67"/>
  <c r="L21" i="66"/>
  <c r="L21" i="65"/>
  <c r="L21" i="64"/>
  <c r="L21" i="63"/>
  <c r="L21" i="62"/>
  <c r="L21" i="58"/>
  <c r="L21" i="61"/>
  <c r="L21" i="60"/>
  <c r="L21" i="55"/>
  <c r="L21" i="53"/>
  <c r="L21" i="51"/>
  <c r="L21" i="81"/>
  <c r="M19" i="62"/>
  <c r="M19" i="58"/>
  <c r="M19" i="81"/>
  <c r="L9" i="81"/>
  <c r="N9" i="81" s="1"/>
  <c r="M9" i="81"/>
  <c r="L10" i="81"/>
  <c r="N10" i="81" s="1"/>
  <c r="M10" i="81"/>
  <c r="L11" i="81"/>
  <c r="L12" i="81"/>
  <c r="L13" i="81"/>
  <c r="N13" i="81" s="1"/>
  <c r="L14" i="81"/>
  <c r="N14" i="81" s="1"/>
  <c r="M14" i="81"/>
  <c r="M15" i="81"/>
  <c r="M16" i="81"/>
  <c r="M35" i="83" l="1"/>
  <c r="K37" i="83" s="1"/>
  <c r="K38" i="83" s="1"/>
  <c r="K39" i="83"/>
  <c r="M98" i="83"/>
  <c r="E99" i="83" s="1"/>
  <c r="B104" i="83" s="1"/>
  <c r="B105" i="83" s="1"/>
  <c r="C33" i="83" s="1"/>
  <c r="B110" i="83"/>
  <c r="C68" i="83"/>
  <c r="C69" i="83" s="1"/>
  <c r="C71" i="83" s="1"/>
  <c r="C72" i="83" s="1"/>
  <c r="B112" i="83"/>
  <c r="B90" i="83"/>
  <c r="B91" i="83" s="1"/>
  <c r="B92" i="83" s="1"/>
  <c r="B94" i="83"/>
  <c r="C32" i="83" s="1"/>
  <c r="C55" i="83"/>
  <c r="C59" i="83"/>
  <c r="C50" i="83"/>
  <c r="M19" i="60"/>
  <c r="M13" i="81"/>
  <c r="M12" i="81"/>
  <c r="N12" i="81"/>
  <c r="M11" i="81"/>
  <c r="N11" i="81"/>
  <c r="C73" i="83" l="1"/>
  <c r="C78" i="83"/>
  <c r="C82" i="83" s="1"/>
  <c r="B111" i="83"/>
  <c r="B113" i="83"/>
  <c r="B114" i="83" s="1"/>
  <c r="C60" i="83"/>
  <c r="C64" i="83" s="1"/>
  <c r="X36" i="83"/>
  <c r="K40" i="83"/>
  <c r="C81" i="58"/>
  <c r="C81" i="61"/>
  <c r="C81" i="51"/>
  <c r="C81" i="55"/>
  <c r="B120" i="83" l="1"/>
  <c r="B121" i="83" s="1"/>
  <c r="B122" i="83" s="1"/>
  <c r="B123" i="83" s="1"/>
  <c r="B124" i="83" s="1"/>
  <c r="C36" i="83" s="1"/>
  <c r="B115" i="83"/>
  <c r="B116" i="83" s="1"/>
  <c r="D111" i="83"/>
  <c r="A28" i="74"/>
  <c r="A28" i="75"/>
  <c r="A28" i="79"/>
  <c r="A28" i="72"/>
  <c r="A28" i="78"/>
  <c r="A28" i="77"/>
  <c r="A28" i="80"/>
  <c r="A28" i="71"/>
  <c r="A28" i="69"/>
  <c r="A28" i="70"/>
  <c r="A28" i="68"/>
  <c r="A28" i="59"/>
  <c r="A28" i="67"/>
  <c r="A28" i="66"/>
  <c r="A28" i="65"/>
  <c r="A28" i="64"/>
  <c r="A28" i="63"/>
  <c r="A28" i="62"/>
  <c r="A28" i="58"/>
  <c r="A28" i="61"/>
  <c r="A28" i="60"/>
  <c r="A28" i="55"/>
  <c r="A28" i="53"/>
  <c r="A28" i="51"/>
  <c r="A28" i="81"/>
  <c r="B117" i="83" l="1"/>
  <c r="B118" i="83" s="1"/>
  <c r="O113" i="83"/>
  <c r="C18" i="68"/>
  <c r="C18" i="59"/>
  <c r="C18" i="67"/>
  <c r="C18" i="66"/>
  <c r="C18" i="65"/>
  <c r="C18" i="64"/>
  <c r="C18" i="63"/>
  <c r="C18" i="70"/>
  <c r="C18" i="69"/>
  <c r="C18" i="71"/>
  <c r="C18" i="80"/>
  <c r="C18" i="77"/>
  <c r="C18" i="78"/>
  <c r="C18" i="72"/>
  <c r="C18" i="79"/>
  <c r="C18" i="75"/>
  <c r="C18" i="74"/>
  <c r="C18" i="81" l="1"/>
  <c r="C18" i="62" l="1"/>
  <c r="C18" i="58"/>
  <c r="C79" i="58" s="1"/>
  <c r="C18" i="61"/>
  <c r="C79" i="61" s="1"/>
  <c r="C18" i="60" l="1"/>
  <c r="C79" i="60" s="1"/>
  <c r="C18" i="55"/>
  <c r="C79" i="55" s="1"/>
  <c r="C18" i="53"/>
  <c r="C79" i="53" s="1"/>
  <c r="C18" i="51"/>
  <c r="C79" i="51" s="1"/>
  <c r="B172" i="81" l="1"/>
  <c r="B173" i="81" s="1"/>
  <c r="R206" i="81"/>
  <c r="R195" i="81"/>
  <c r="R184" i="81"/>
  <c r="R172" i="81"/>
  <c r="B132" i="81"/>
  <c r="B133" i="81" s="1"/>
  <c r="B111" i="81"/>
  <c r="O112" i="81" s="1"/>
  <c r="B89" i="81"/>
  <c r="O91" i="81" s="1"/>
  <c r="K36" i="81"/>
  <c r="M29" i="81"/>
  <c r="L27" i="81"/>
  <c r="C14" i="81"/>
  <c r="B109" i="81" s="1"/>
  <c r="P22" i="81"/>
  <c r="C19" i="81"/>
  <c r="M17" i="81"/>
  <c r="F20" i="81"/>
  <c r="R25" i="81" s="1"/>
  <c r="C13" i="81"/>
  <c r="R206" i="80"/>
  <c r="R195" i="80"/>
  <c r="R184" i="80"/>
  <c r="B176" i="80"/>
  <c r="R172" i="80"/>
  <c r="B172" i="80"/>
  <c r="V132" i="80"/>
  <c r="V133" i="80" s="1"/>
  <c r="B132" i="80"/>
  <c r="B133" i="80" s="1"/>
  <c r="B111" i="80"/>
  <c r="O103" i="80"/>
  <c r="B89" i="80"/>
  <c r="O95" i="80" s="1"/>
  <c r="M77" i="80"/>
  <c r="M64" i="80"/>
  <c r="K36" i="80"/>
  <c r="F31" i="80"/>
  <c r="M29" i="80"/>
  <c r="L27" i="80"/>
  <c r="M72" i="80"/>
  <c r="M59" i="80"/>
  <c r="C19" i="80"/>
  <c r="N17" i="80"/>
  <c r="M17" i="80"/>
  <c r="N16" i="80"/>
  <c r="M16" i="80"/>
  <c r="C17" i="80"/>
  <c r="N15" i="80"/>
  <c r="M15" i="80"/>
  <c r="L14" i="80"/>
  <c r="N14" i="80" s="1"/>
  <c r="L13" i="80"/>
  <c r="N13" i="80" s="1"/>
  <c r="C14" i="80"/>
  <c r="B86" i="80" s="1"/>
  <c r="L12" i="80"/>
  <c r="N12" i="80" s="1"/>
  <c r="C13" i="80"/>
  <c r="L11" i="80"/>
  <c r="N11" i="80" s="1"/>
  <c r="L10" i="80"/>
  <c r="N10" i="80" s="1"/>
  <c r="L9" i="80"/>
  <c r="N9" i="80" s="1"/>
  <c r="R206" i="79"/>
  <c r="R195" i="79"/>
  <c r="R184" i="79"/>
  <c r="B176" i="79"/>
  <c r="R172" i="79"/>
  <c r="B172" i="79"/>
  <c r="V132" i="79"/>
  <c r="V133" i="79" s="1"/>
  <c r="B132" i="79"/>
  <c r="B133" i="79" s="1"/>
  <c r="B111" i="79"/>
  <c r="O114" i="79" s="1"/>
  <c r="B100" i="79"/>
  <c r="O103" i="79" s="1"/>
  <c r="B89" i="79"/>
  <c r="O95" i="79" s="1"/>
  <c r="M77" i="79"/>
  <c r="M64" i="79"/>
  <c r="K36" i="79"/>
  <c r="F31" i="79"/>
  <c r="M29" i="79"/>
  <c r="L27" i="79"/>
  <c r="C14" i="79"/>
  <c r="B86" i="79" s="1"/>
  <c r="M72" i="79"/>
  <c r="M59" i="79"/>
  <c r="C19" i="79"/>
  <c r="N17" i="79"/>
  <c r="M17" i="79"/>
  <c r="N16" i="79"/>
  <c r="M16" i="79"/>
  <c r="C17" i="79"/>
  <c r="N15" i="79"/>
  <c r="M15" i="79"/>
  <c r="L14" i="79"/>
  <c r="N14" i="79" s="1"/>
  <c r="L13" i="79"/>
  <c r="N13" i="79" s="1"/>
  <c r="L12" i="79"/>
  <c r="N12" i="79" s="1"/>
  <c r="C13" i="79"/>
  <c r="L11" i="79"/>
  <c r="N11" i="79" s="1"/>
  <c r="L10" i="79"/>
  <c r="N10" i="79" s="1"/>
  <c r="L9" i="79"/>
  <c r="N9" i="79" s="1"/>
  <c r="R206" i="78"/>
  <c r="R195" i="78"/>
  <c r="R184" i="78"/>
  <c r="B176" i="78"/>
  <c r="R172" i="78"/>
  <c r="B172" i="78"/>
  <c r="V132" i="78"/>
  <c r="V133" i="78" s="1"/>
  <c r="B132" i="78"/>
  <c r="B133" i="78" s="1"/>
  <c r="B111" i="78"/>
  <c r="O114" i="78" s="1"/>
  <c r="B100" i="78"/>
  <c r="O103" i="78" s="1"/>
  <c r="B89" i="78"/>
  <c r="O95" i="78" s="1"/>
  <c r="M77" i="78"/>
  <c r="M64" i="78"/>
  <c r="K36" i="78"/>
  <c r="F31" i="78"/>
  <c r="M29" i="78"/>
  <c r="L27" i="78"/>
  <c r="M72" i="78"/>
  <c r="M59" i="78"/>
  <c r="C19" i="78"/>
  <c r="N17" i="78"/>
  <c r="M17" i="78"/>
  <c r="N16" i="78"/>
  <c r="M16" i="78"/>
  <c r="C17" i="78"/>
  <c r="T181" i="78" s="1"/>
  <c r="N15" i="78"/>
  <c r="M15" i="78"/>
  <c r="L14" i="78"/>
  <c r="M14" i="78" s="1"/>
  <c r="M13" i="78"/>
  <c r="L13" i="78"/>
  <c r="N13" i="78" s="1"/>
  <c r="C14" i="78"/>
  <c r="B86" i="78" s="1"/>
  <c r="L12" i="78"/>
  <c r="N12" i="78" s="1"/>
  <c r="C13" i="78"/>
  <c r="L11" i="78"/>
  <c r="N11" i="78" s="1"/>
  <c r="L10" i="78"/>
  <c r="M10" i="78" s="1"/>
  <c r="L9" i="78"/>
  <c r="N9" i="78" s="1"/>
  <c r="R206" i="77"/>
  <c r="R195" i="77"/>
  <c r="R184" i="77"/>
  <c r="B176" i="77"/>
  <c r="R172" i="77"/>
  <c r="B172" i="77"/>
  <c r="B132" i="77"/>
  <c r="B111" i="77"/>
  <c r="O114" i="77" s="1"/>
  <c r="B100" i="77"/>
  <c r="O103" i="77" s="1"/>
  <c r="B89" i="77"/>
  <c r="O95" i="77" s="1"/>
  <c r="M77" i="77"/>
  <c r="M64" i="77"/>
  <c r="K36" i="77"/>
  <c r="F31" i="77"/>
  <c r="M29" i="77"/>
  <c r="L27" i="77"/>
  <c r="C14" i="77"/>
  <c r="B86" i="77" s="1"/>
  <c r="M72" i="77"/>
  <c r="M59" i="77"/>
  <c r="C19" i="77"/>
  <c r="N17" i="77"/>
  <c r="M17" i="77"/>
  <c r="N16" i="77"/>
  <c r="M16" i="77"/>
  <c r="C17" i="77"/>
  <c r="N15" i="77"/>
  <c r="M15" i="77"/>
  <c r="M14" i="77"/>
  <c r="L14" i="77"/>
  <c r="N14" i="77" s="1"/>
  <c r="L13" i="77"/>
  <c r="N13" i="77" s="1"/>
  <c r="L12" i="77"/>
  <c r="N12" i="77" s="1"/>
  <c r="C13" i="77"/>
  <c r="L11" i="77"/>
  <c r="N11" i="77" s="1"/>
  <c r="L10" i="77"/>
  <c r="N10" i="77" s="1"/>
  <c r="L9" i="77"/>
  <c r="N9" i="77" s="1"/>
  <c r="R206" i="75"/>
  <c r="R195" i="75"/>
  <c r="R184" i="75"/>
  <c r="B176" i="75"/>
  <c r="R172" i="75"/>
  <c r="B172" i="75"/>
  <c r="B132" i="75"/>
  <c r="B111" i="75"/>
  <c r="O115" i="75" s="1"/>
  <c r="B100" i="75"/>
  <c r="O104" i="75" s="1"/>
  <c r="B89" i="75"/>
  <c r="O95" i="75" s="1"/>
  <c r="M77" i="75"/>
  <c r="M64" i="75"/>
  <c r="K36" i="75"/>
  <c r="F31" i="75"/>
  <c r="M29" i="75"/>
  <c r="L27" i="75"/>
  <c r="C14" i="75"/>
  <c r="B86" i="75" s="1"/>
  <c r="M72" i="75"/>
  <c r="M59" i="75"/>
  <c r="N17" i="75"/>
  <c r="M17" i="75"/>
  <c r="N16" i="75"/>
  <c r="M16" i="75"/>
  <c r="C17" i="75"/>
  <c r="N15" i="75"/>
  <c r="M15" i="75"/>
  <c r="L14" i="75"/>
  <c r="N14" i="75" s="1"/>
  <c r="L13" i="75"/>
  <c r="M13" i="75" s="1"/>
  <c r="L12" i="75"/>
  <c r="M12" i="75" s="1"/>
  <c r="C13" i="75"/>
  <c r="L11" i="75"/>
  <c r="M11" i="75" s="1"/>
  <c r="L10" i="75"/>
  <c r="N10" i="75" s="1"/>
  <c r="L9" i="75"/>
  <c r="M9" i="75" s="1"/>
  <c r="M10" i="79" l="1"/>
  <c r="M20" i="75"/>
  <c r="G177" i="75" s="1"/>
  <c r="T181" i="80"/>
  <c r="C21" i="80"/>
  <c r="M14" i="75"/>
  <c r="M10" i="75"/>
  <c r="B133" i="77"/>
  <c r="V128" i="77"/>
  <c r="V129" i="77" s="1"/>
  <c r="M19" i="78"/>
  <c r="G173" i="78" s="1"/>
  <c r="M20" i="78"/>
  <c r="G177" i="78" s="1"/>
  <c r="M19" i="79"/>
  <c r="G173" i="79" s="1"/>
  <c r="M20" i="79"/>
  <c r="G177" i="79" s="1"/>
  <c r="M19" i="80"/>
  <c r="G173" i="80" s="1"/>
  <c r="M20" i="80"/>
  <c r="G177" i="80" s="1"/>
  <c r="B133" i="75"/>
  <c r="V128" i="75"/>
  <c r="V129" i="75" s="1"/>
  <c r="M19" i="77"/>
  <c r="G173" i="77" s="1"/>
  <c r="M20" i="77"/>
  <c r="G177" i="77" s="1"/>
  <c r="M14" i="79"/>
  <c r="M14" i="80"/>
  <c r="M19" i="75"/>
  <c r="G173" i="75" s="1"/>
  <c r="T181" i="75"/>
  <c r="T181" i="79"/>
  <c r="T181" i="77"/>
  <c r="O99" i="80"/>
  <c r="Q156" i="81"/>
  <c r="Q114" i="81"/>
  <c r="T181" i="81"/>
  <c r="R132" i="78"/>
  <c r="R133" i="78" s="1"/>
  <c r="M11" i="78"/>
  <c r="X132" i="78"/>
  <c r="X133" i="78" s="1"/>
  <c r="Q26" i="80"/>
  <c r="S26" i="80" s="1"/>
  <c r="M12" i="78"/>
  <c r="P22" i="79"/>
  <c r="X132" i="79"/>
  <c r="X133" i="79" s="1"/>
  <c r="M10" i="80"/>
  <c r="O92" i="80"/>
  <c r="R132" i="75"/>
  <c r="R133" i="75" s="1"/>
  <c r="M9" i="78"/>
  <c r="R132" i="79"/>
  <c r="R133" i="79" s="1"/>
  <c r="B156" i="81"/>
  <c r="S156" i="81" s="1"/>
  <c r="O110" i="81"/>
  <c r="O87" i="81"/>
  <c r="B127" i="81"/>
  <c r="B159" i="81"/>
  <c r="S159" i="81" s="1"/>
  <c r="C22" i="81"/>
  <c r="F19" i="81"/>
  <c r="C25" i="81"/>
  <c r="C27" i="81"/>
  <c r="C47" i="81"/>
  <c r="C58" i="81"/>
  <c r="E31" i="81"/>
  <c r="B86" i="81"/>
  <c r="C21" i="81"/>
  <c r="G172" i="81" s="1"/>
  <c r="L22" i="81"/>
  <c r="C26" i="81"/>
  <c r="C56" i="81"/>
  <c r="P22" i="80"/>
  <c r="O93" i="80"/>
  <c r="O100" i="80"/>
  <c r="O110" i="80"/>
  <c r="O101" i="80"/>
  <c r="C22" i="80"/>
  <c r="Q27" i="80"/>
  <c r="S27" i="80" s="1"/>
  <c r="F20" i="80" s="1"/>
  <c r="B109" i="80"/>
  <c r="B127" i="80"/>
  <c r="B87" i="80"/>
  <c r="M9" i="80"/>
  <c r="M11" i="80"/>
  <c r="M12" i="80"/>
  <c r="M13" i="80"/>
  <c r="L22" i="80"/>
  <c r="C26" i="80"/>
  <c r="C27" i="80"/>
  <c r="O111" i="80"/>
  <c r="O112" i="80"/>
  <c r="O113" i="80"/>
  <c r="O114" i="80"/>
  <c r="R132" i="80"/>
  <c r="R133" i="80" s="1"/>
  <c r="X132" i="80"/>
  <c r="X133" i="80" s="1"/>
  <c r="B143" i="80"/>
  <c r="B156" i="80"/>
  <c r="C25" i="80"/>
  <c r="C47" i="80"/>
  <c r="C70" i="80"/>
  <c r="O87" i="80"/>
  <c r="O88" i="80"/>
  <c r="O89" i="80"/>
  <c r="O90" i="80"/>
  <c r="O91" i="80"/>
  <c r="Q27" i="79"/>
  <c r="S27" i="79" s="1"/>
  <c r="F20" i="79" s="1"/>
  <c r="O87" i="79"/>
  <c r="O89" i="79"/>
  <c r="O92" i="79"/>
  <c r="O99" i="79"/>
  <c r="O101" i="79"/>
  <c r="O111" i="79"/>
  <c r="O113" i="79"/>
  <c r="O88" i="79"/>
  <c r="O90" i="79"/>
  <c r="O93" i="79"/>
  <c r="O100" i="79"/>
  <c r="O110" i="79"/>
  <c r="O112" i="79"/>
  <c r="C22" i="79"/>
  <c r="C21" i="79"/>
  <c r="B127" i="79"/>
  <c r="B98" i="79"/>
  <c r="B109" i="79" s="1"/>
  <c r="B87" i="79"/>
  <c r="M9" i="79"/>
  <c r="M11" i="79"/>
  <c r="M12" i="79"/>
  <c r="M13" i="79"/>
  <c r="L22" i="79"/>
  <c r="C26" i="79"/>
  <c r="C27" i="79"/>
  <c r="B143" i="79"/>
  <c r="B156" i="79"/>
  <c r="C25" i="79"/>
  <c r="C47" i="79"/>
  <c r="C70" i="79"/>
  <c r="O91" i="79"/>
  <c r="C22" i="78"/>
  <c r="O87" i="78"/>
  <c r="O110" i="78"/>
  <c r="O88" i="78"/>
  <c r="O111" i="78"/>
  <c r="Q27" i="78"/>
  <c r="S27" i="78" s="1"/>
  <c r="F20" i="78" s="1"/>
  <c r="L22" i="78"/>
  <c r="B127" i="78"/>
  <c r="B98" i="78"/>
  <c r="B109" i="78" s="1"/>
  <c r="B87" i="78"/>
  <c r="N10" i="78"/>
  <c r="N14" i="78"/>
  <c r="C21" i="78"/>
  <c r="C26" i="78"/>
  <c r="C27" i="78"/>
  <c r="O99" i="78"/>
  <c r="O100" i="78"/>
  <c r="O101" i="78"/>
  <c r="O102" i="78"/>
  <c r="B143" i="78"/>
  <c r="B156" i="78"/>
  <c r="P22" i="78"/>
  <c r="C25" i="78"/>
  <c r="C47" i="78"/>
  <c r="C70" i="78"/>
  <c r="O89" i="78"/>
  <c r="O90" i="78"/>
  <c r="O91" i="78"/>
  <c r="O92" i="78"/>
  <c r="C22" i="77"/>
  <c r="O88" i="77"/>
  <c r="O90" i="77"/>
  <c r="O91" i="77"/>
  <c r="O100" i="77"/>
  <c r="O102" i="77"/>
  <c r="O111" i="77"/>
  <c r="O87" i="77"/>
  <c r="O89" i="77"/>
  <c r="O92" i="77"/>
  <c r="O99" i="77"/>
  <c r="O101" i="77"/>
  <c r="O110" i="77"/>
  <c r="P22" i="77"/>
  <c r="Q27" i="77"/>
  <c r="S27" i="77" s="1"/>
  <c r="F20" i="77" s="1"/>
  <c r="C21" i="77"/>
  <c r="M10" i="77"/>
  <c r="B98" i="77"/>
  <c r="B109" i="77" s="1"/>
  <c r="B127" i="77"/>
  <c r="B87" i="77"/>
  <c r="M9" i="77"/>
  <c r="M11" i="77"/>
  <c r="M12" i="77"/>
  <c r="M13" i="77"/>
  <c r="L22" i="77"/>
  <c r="C26" i="77"/>
  <c r="C27" i="77"/>
  <c r="R132" i="77"/>
  <c r="R133" i="77" s="1"/>
  <c r="B143" i="77"/>
  <c r="B156" i="77"/>
  <c r="C25" i="77"/>
  <c r="C47" i="77"/>
  <c r="C70" i="77"/>
  <c r="C21" i="75"/>
  <c r="O87" i="75"/>
  <c r="O89" i="75"/>
  <c r="O92" i="75"/>
  <c r="O100" i="75"/>
  <c r="O110" i="75"/>
  <c r="O112" i="75"/>
  <c r="O88" i="75"/>
  <c r="O90" i="75"/>
  <c r="O93" i="75"/>
  <c r="O101" i="75"/>
  <c r="O111" i="75"/>
  <c r="O113" i="75"/>
  <c r="L22" i="75"/>
  <c r="B98" i="75"/>
  <c r="B109" i="75" s="1"/>
  <c r="B127" i="75"/>
  <c r="B87" i="75"/>
  <c r="C26" i="75"/>
  <c r="B143" i="75"/>
  <c r="B156" i="75"/>
  <c r="N9" i="75"/>
  <c r="N11" i="75"/>
  <c r="N12" i="75"/>
  <c r="N13" i="75"/>
  <c r="C22" i="75"/>
  <c r="C40" i="75" s="1"/>
  <c r="P22" i="75"/>
  <c r="C25" i="75"/>
  <c r="C27" i="75"/>
  <c r="C47" i="75"/>
  <c r="C70" i="75"/>
  <c r="O91" i="75"/>
  <c r="O99" i="75"/>
  <c r="R206" i="74"/>
  <c r="R195" i="74"/>
  <c r="R184" i="74"/>
  <c r="B176" i="74"/>
  <c r="R172" i="74"/>
  <c r="B172" i="74"/>
  <c r="B132" i="74"/>
  <c r="V128" i="74" s="1"/>
  <c r="V129" i="74" s="1"/>
  <c r="B111" i="74"/>
  <c r="O115" i="74" s="1"/>
  <c r="B100" i="74"/>
  <c r="O104" i="74" s="1"/>
  <c r="B89" i="74"/>
  <c r="O93" i="74" s="1"/>
  <c r="M77" i="74"/>
  <c r="M64" i="74"/>
  <c r="K36" i="74"/>
  <c r="F31" i="74"/>
  <c r="M29" i="74"/>
  <c r="L27" i="74"/>
  <c r="C14" i="74"/>
  <c r="M72" i="74"/>
  <c r="M59" i="74"/>
  <c r="N17" i="74"/>
  <c r="M17" i="74"/>
  <c r="N16" i="74"/>
  <c r="M16" i="74"/>
  <c r="C17" i="74"/>
  <c r="N15" i="74"/>
  <c r="M15" i="74"/>
  <c r="L14" i="74"/>
  <c r="N14" i="74" s="1"/>
  <c r="L13" i="74"/>
  <c r="N13" i="74" s="1"/>
  <c r="L12" i="74"/>
  <c r="N12" i="74" s="1"/>
  <c r="C13" i="74"/>
  <c r="L11" i="74"/>
  <c r="N11" i="74" s="1"/>
  <c r="L10" i="74"/>
  <c r="N10" i="74" s="1"/>
  <c r="L9" i="74"/>
  <c r="M9" i="74" s="1"/>
  <c r="R206" i="72"/>
  <c r="R195" i="72"/>
  <c r="R184" i="72"/>
  <c r="B176" i="72"/>
  <c r="R172" i="72"/>
  <c r="B172" i="72"/>
  <c r="B132" i="72"/>
  <c r="B111" i="72"/>
  <c r="O112" i="72" s="1"/>
  <c r="B100" i="72"/>
  <c r="O104" i="72" s="1"/>
  <c r="B89" i="72"/>
  <c r="M77" i="72"/>
  <c r="M64" i="72"/>
  <c r="K36" i="72"/>
  <c r="F31" i="72"/>
  <c r="M29" i="72"/>
  <c r="L27" i="72"/>
  <c r="C14" i="72"/>
  <c r="C26" i="72" s="1"/>
  <c r="M72" i="72"/>
  <c r="M59" i="72"/>
  <c r="N17" i="72"/>
  <c r="M17" i="72"/>
  <c r="N16" i="72"/>
  <c r="M16" i="72"/>
  <c r="C17" i="72"/>
  <c r="N15" i="72"/>
  <c r="M15" i="72"/>
  <c r="L14" i="72"/>
  <c r="M14" i="72" s="1"/>
  <c r="L13" i="72"/>
  <c r="N13" i="72" s="1"/>
  <c r="L12" i="72"/>
  <c r="M12" i="72" s="1"/>
  <c r="C13" i="72"/>
  <c r="L11" i="72"/>
  <c r="M11" i="72" s="1"/>
  <c r="M10" i="72"/>
  <c r="L10" i="72"/>
  <c r="N10" i="72" s="1"/>
  <c r="L9" i="72"/>
  <c r="N9" i="72" s="1"/>
  <c r="F31" i="71"/>
  <c r="M64" i="71"/>
  <c r="R206" i="71"/>
  <c r="R195" i="71"/>
  <c r="R184" i="71"/>
  <c r="B176" i="71"/>
  <c r="R172" i="71"/>
  <c r="B172" i="71"/>
  <c r="B132" i="71"/>
  <c r="B111" i="71"/>
  <c r="O112" i="71" s="1"/>
  <c r="B100" i="71"/>
  <c r="O101" i="71" s="1"/>
  <c r="B89" i="71"/>
  <c r="M77" i="71"/>
  <c r="K36" i="71"/>
  <c r="M29" i="71"/>
  <c r="L27" i="71"/>
  <c r="C14" i="71"/>
  <c r="C70" i="71" s="1"/>
  <c r="M72" i="71"/>
  <c r="M59" i="71"/>
  <c r="N17" i="71"/>
  <c r="M20" i="71" s="1"/>
  <c r="M17" i="71"/>
  <c r="N16" i="71"/>
  <c r="M16" i="71"/>
  <c r="C17" i="71"/>
  <c r="O110" i="71" s="1"/>
  <c r="N15" i="71"/>
  <c r="M19" i="71" s="1"/>
  <c r="M15" i="71"/>
  <c r="L14" i="71"/>
  <c r="M14" i="71" s="1"/>
  <c r="L13" i="71"/>
  <c r="M13" i="71" s="1"/>
  <c r="L12" i="71"/>
  <c r="M12" i="71" s="1"/>
  <c r="C13" i="71"/>
  <c r="L11" i="71"/>
  <c r="N11" i="71" s="1"/>
  <c r="L10" i="71"/>
  <c r="N10" i="71" s="1"/>
  <c r="L9" i="71"/>
  <c r="M9" i="71" s="1"/>
  <c r="R206" i="70"/>
  <c r="R195" i="70"/>
  <c r="R184" i="70"/>
  <c r="B176" i="70"/>
  <c r="R172" i="70"/>
  <c r="B172" i="70"/>
  <c r="B132" i="70"/>
  <c r="B111" i="70"/>
  <c r="O114" i="70" s="1"/>
  <c r="B100" i="70"/>
  <c r="O103" i="70" s="1"/>
  <c r="B89" i="70"/>
  <c r="O92" i="70" s="1"/>
  <c r="M77" i="70"/>
  <c r="M64" i="70"/>
  <c r="K36" i="70"/>
  <c r="F31" i="70"/>
  <c r="M29" i="70"/>
  <c r="L27" i="70"/>
  <c r="C14" i="70"/>
  <c r="M72" i="70"/>
  <c r="M59" i="70"/>
  <c r="C19" i="70"/>
  <c r="N17" i="70"/>
  <c r="M17" i="70"/>
  <c r="N16" i="70"/>
  <c r="M16" i="70"/>
  <c r="C17" i="70"/>
  <c r="N15" i="70"/>
  <c r="M19" i="70" s="1"/>
  <c r="M15" i="70"/>
  <c r="L14" i="70"/>
  <c r="N14" i="70" s="1"/>
  <c r="L13" i="70"/>
  <c r="M13" i="70" s="1"/>
  <c r="L12" i="70"/>
  <c r="M12" i="70" s="1"/>
  <c r="C13" i="70"/>
  <c r="L11" i="70"/>
  <c r="M11" i="70" s="1"/>
  <c r="L10" i="70"/>
  <c r="N10" i="70" s="1"/>
  <c r="L9" i="70"/>
  <c r="M9" i="70" s="1"/>
  <c r="M20" i="74" l="1"/>
  <c r="G177" i="74" s="1"/>
  <c r="M19" i="74"/>
  <c r="G173" i="74" s="1"/>
  <c r="R132" i="71"/>
  <c r="R133" i="71" s="1"/>
  <c r="V128" i="71"/>
  <c r="V129" i="71" s="1"/>
  <c r="B133" i="72"/>
  <c r="V128" i="72"/>
  <c r="V129" i="72" s="1"/>
  <c r="M11" i="71"/>
  <c r="M19" i="72"/>
  <c r="G173" i="72" s="1"/>
  <c r="M20" i="72"/>
  <c r="G177" i="72" s="1"/>
  <c r="M20" i="70"/>
  <c r="G177" i="70" s="1"/>
  <c r="R132" i="70"/>
  <c r="R133" i="70" s="1"/>
  <c r="V128" i="70"/>
  <c r="V129" i="70" s="1"/>
  <c r="N14" i="72"/>
  <c r="O111" i="72"/>
  <c r="C22" i="71"/>
  <c r="O87" i="71"/>
  <c r="O100" i="70"/>
  <c r="N12" i="71"/>
  <c r="N13" i="71"/>
  <c r="O88" i="71"/>
  <c r="O99" i="71"/>
  <c r="O100" i="71"/>
  <c r="C21" i="72"/>
  <c r="G176" i="72" s="1"/>
  <c r="R132" i="72"/>
  <c r="R133" i="72" s="1"/>
  <c r="M12" i="74"/>
  <c r="M14" i="74"/>
  <c r="M10" i="70"/>
  <c r="G173" i="70"/>
  <c r="N14" i="71"/>
  <c r="G173" i="71"/>
  <c r="P22" i="71"/>
  <c r="O90" i="71"/>
  <c r="O111" i="71"/>
  <c r="N11" i="72"/>
  <c r="N12" i="72"/>
  <c r="M13" i="74"/>
  <c r="M14" i="70"/>
  <c r="B133" i="71"/>
  <c r="M13" i="72"/>
  <c r="L22" i="71"/>
  <c r="O89" i="71"/>
  <c r="M115" i="81"/>
  <c r="Q157" i="81"/>
  <c r="Q115" i="81"/>
  <c r="M157" i="81"/>
  <c r="U21" i="81"/>
  <c r="U20" i="81"/>
  <c r="C51" i="81"/>
  <c r="C52" i="81"/>
  <c r="C54" i="81"/>
  <c r="T202" i="81"/>
  <c r="T203" i="81" s="1"/>
  <c r="T204" i="81" s="1"/>
  <c r="R209" i="81" s="1"/>
  <c r="T179" i="81"/>
  <c r="R187" i="81" s="1"/>
  <c r="T191" i="81"/>
  <c r="T192" i="81" s="1"/>
  <c r="T168" i="81"/>
  <c r="M32" i="81"/>
  <c r="G173" i="81"/>
  <c r="B174" i="81" s="1"/>
  <c r="B87" i="81"/>
  <c r="E58" i="81"/>
  <c r="E30" i="81"/>
  <c r="U27" i="80"/>
  <c r="U26" i="80" s="1"/>
  <c r="F19" i="80" s="1"/>
  <c r="G176" i="80"/>
  <c r="B178" i="80" s="1"/>
  <c r="C51" i="80"/>
  <c r="M115" i="80"/>
  <c r="M58" i="80"/>
  <c r="M60" i="80" s="1"/>
  <c r="C57" i="80"/>
  <c r="C58" i="80" s="1"/>
  <c r="C54" i="80"/>
  <c r="C52" i="80"/>
  <c r="B128" i="80"/>
  <c r="G172" i="80"/>
  <c r="B174" i="80" s="1"/>
  <c r="C77" i="80"/>
  <c r="C75" i="80"/>
  <c r="M71" i="80"/>
  <c r="M73" i="80" s="1"/>
  <c r="M104" i="80"/>
  <c r="C74" i="80"/>
  <c r="T202" i="80"/>
  <c r="T203" i="80" s="1"/>
  <c r="T204" i="80" s="1"/>
  <c r="R209" i="80" s="1"/>
  <c r="T179" i="80"/>
  <c r="R187" i="80" s="1"/>
  <c r="M32" i="80"/>
  <c r="T191" i="80"/>
  <c r="T192" i="80" s="1"/>
  <c r="T168" i="80"/>
  <c r="G172" i="79"/>
  <c r="B174" i="79" s="1"/>
  <c r="C77" i="79"/>
  <c r="C75" i="79"/>
  <c r="M71" i="79"/>
  <c r="M73" i="79" s="1"/>
  <c r="M104" i="79"/>
  <c r="C74" i="79"/>
  <c r="U27" i="79"/>
  <c r="T202" i="79"/>
  <c r="T203" i="79" s="1"/>
  <c r="T204" i="79" s="1"/>
  <c r="R209" i="79" s="1"/>
  <c r="T179" i="79"/>
  <c r="R187" i="79" s="1"/>
  <c r="M32" i="79"/>
  <c r="T191" i="79"/>
  <c r="T192" i="79" s="1"/>
  <c r="T168" i="79"/>
  <c r="G176" i="79"/>
  <c r="B178" i="79" s="1"/>
  <c r="C51" i="79"/>
  <c r="Q26" i="79"/>
  <c r="S26" i="79" s="1"/>
  <c r="M115" i="79"/>
  <c r="M58" i="79"/>
  <c r="M60" i="79" s="1"/>
  <c r="C57" i="79"/>
  <c r="C58" i="79" s="1"/>
  <c r="C54" i="79"/>
  <c r="C52" i="79"/>
  <c r="B128" i="79"/>
  <c r="G172" i="78"/>
  <c r="B174" i="78" s="1"/>
  <c r="C77" i="78"/>
  <c r="C75" i="78"/>
  <c r="M71" i="78"/>
  <c r="M73" i="78" s="1"/>
  <c r="M104" i="78"/>
  <c r="C74" i="78"/>
  <c r="U27" i="78"/>
  <c r="U26" i="78" s="1"/>
  <c r="C40" i="78" s="1"/>
  <c r="T202" i="78"/>
  <c r="T203" i="78" s="1"/>
  <c r="T204" i="78" s="1"/>
  <c r="R209" i="78" s="1"/>
  <c r="T179" i="78"/>
  <c r="R187" i="78" s="1"/>
  <c r="M32" i="78"/>
  <c r="T191" i="78"/>
  <c r="T192" i="78" s="1"/>
  <c r="T168" i="78"/>
  <c r="G176" i="78"/>
  <c r="B178" i="78" s="1"/>
  <c r="C51" i="78"/>
  <c r="Q26" i="78"/>
  <c r="S26" i="78" s="1"/>
  <c r="M115" i="78"/>
  <c r="M58" i="78"/>
  <c r="M60" i="78" s="1"/>
  <c r="C57" i="78"/>
  <c r="C58" i="78" s="1"/>
  <c r="C54" i="78"/>
  <c r="C52" i="78"/>
  <c r="B128" i="78"/>
  <c r="N9" i="74"/>
  <c r="T202" i="77"/>
  <c r="T203" i="77" s="1"/>
  <c r="T204" i="77" s="1"/>
  <c r="R209" i="77" s="1"/>
  <c r="T179" i="77"/>
  <c r="R187" i="77" s="1"/>
  <c r="M32" i="77"/>
  <c r="T191" i="77"/>
  <c r="T192" i="77" s="1"/>
  <c r="T168" i="77"/>
  <c r="B128" i="77"/>
  <c r="G172" i="77"/>
  <c r="B174" i="77" s="1"/>
  <c r="M104" i="77"/>
  <c r="C77" i="77"/>
  <c r="C75" i="77"/>
  <c r="M71" i="77"/>
  <c r="M73" i="77" s="1"/>
  <c r="C74" i="77"/>
  <c r="U27" i="77"/>
  <c r="G176" i="77"/>
  <c r="B178" i="77" s="1"/>
  <c r="C51" i="77"/>
  <c r="Q26" i="77"/>
  <c r="S26" i="77" s="1"/>
  <c r="M115" i="77"/>
  <c r="M58" i="77"/>
  <c r="M60" i="77" s="1"/>
  <c r="C57" i="77"/>
  <c r="C58" i="77" s="1"/>
  <c r="C54" i="77"/>
  <c r="C52" i="77"/>
  <c r="O111" i="74"/>
  <c r="B133" i="74"/>
  <c r="M11" i="74"/>
  <c r="P22" i="74"/>
  <c r="C70" i="74"/>
  <c r="O87" i="74"/>
  <c r="O89" i="74"/>
  <c r="O91" i="74"/>
  <c r="O100" i="74"/>
  <c r="O110" i="74"/>
  <c r="C22" i="74"/>
  <c r="C77" i="74" s="1"/>
  <c r="O88" i="74"/>
  <c r="O90" i="74"/>
  <c r="O99" i="74"/>
  <c r="O101" i="74"/>
  <c r="T202" i="75"/>
  <c r="T203" i="75" s="1"/>
  <c r="T204" i="75" s="1"/>
  <c r="R209" i="75" s="1"/>
  <c r="T179" i="75"/>
  <c r="R187" i="75" s="1"/>
  <c r="M32" i="75"/>
  <c r="T191" i="75"/>
  <c r="T192" i="75" s="1"/>
  <c r="T168" i="75"/>
  <c r="G176" i="75"/>
  <c r="B178" i="75" s="1"/>
  <c r="B112" i="75"/>
  <c r="B113" i="75" s="1"/>
  <c r="B114" i="75" s="1"/>
  <c r="C51" i="75"/>
  <c r="M58" i="75"/>
  <c r="M60" i="75" s="1"/>
  <c r="C57" i="75"/>
  <c r="C58" i="75" s="1"/>
  <c r="C54" i="75"/>
  <c r="C52" i="75"/>
  <c r="B128" i="75"/>
  <c r="C41" i="75"/>
  <c r="C42" i="75" s="1"/>
  <c r="V127" i="75" s="1"/>
  <c r="G172" i="75"/>
  <c r="B174" i="75" s="1"/>
  <c r="B169" i="75"/>
  <c r="C77" i="75"/>
  <c r="C75" i="75"/>
  <c r="M71" i="75"/>
  <c r="M73" i="75" s="1"/>
  <c r="B101" i="75"/>
  <c r="B102" i="75" s="1"/>
  <c r="B103" i="75" s="1"/>
  <c r="C74" i="75"/>
  <c r="C21" i="74"/>
  <c r="C26" i="74"/>
  <c r="C27" i="74"/>
  <c r="T191" i="74" s="1"/>
  <c r="T192" i="74" s="1"/>
  <c r="B86" i="74"/>
  <c r="M10" i="74"/>
  <c r="R132" i="74"/>
  <c r="R133" i="74" s="1"/>
  <c r="B143" i="74"/>
  <c r="B156" i="74"/>
  <c r="C25" i="74"/>
  <c r="C47" i="74"/>
  <c r="T181" i="74"/>
  <c r="L22" i="74"/>
  <c r="O87" i="72"/>
  <c r="O91" i="72"/>
  <c r="O101" i="72"/>
  <c r="O88" i="72"/>
  <c r="O92" i="72"/>
  <c r="O102" i="72"/>
  <c r="O89" i="72"/>
  <c r="O99" i="72"/>
  <c r="O110" i="72"/>
  <c r="O90" i="72"/>
  <c r="O100" i="72"/>
  <c r="C22" i="72"/>
  <c r="P22" i="72"/>
  <c r="C27" i="72"/>
  <c r="B86" i="72"/>
  <c r="Q94" i="72"/>
  <c r="B143" i="72"/>
  <c r="B156" i="72"/>
  <c r="M9" i="72"/>
  <c r="C25" i="72"/>
  <c r="C47" i="72"/>
  <c r="C70" i="72"/>
  <c r="T181" i="72"/>
  <c r="L22" i="72"/>
  <c r="C21" i="71"/>
  <c r="C54" i="71" s="1"/>
  <c r="C27" i="71"/>
  <c r="T191" i="71" s="1"/>
  <c r="T192" i="71" s="1"/>
  <c r="C26" i="71"/>
  <c r="M10" i="71"/>
  <c r="N9" i="71"/>
  <c r="G177" i="71"/>
  <c r="C25" i="71"/>
  <c r="C47" i="71"/>
  <c r="O91" i="71"/>
  <c r="B143" i="71"/>
  <c r="B156" i="71"/>
  <c r="B86" i="71"/>
  <c r="T181" i="71"/>
  <c r="C21" i="70"/>
  <c r="O91" i="70"/>
  <c r="P22" i="70"/>
  <c r="B156" i="70"/>
  <c r="C70" i="70"/>
  <c r="C27" i="70"/>
  <c r="T191" i="70" s="1"/>
  <c r="T192" i="70" s="1"/>
  <c r="B86" i="70"/>
  <c r="B127" i="70" s="1"/>
  <c r="N9" i="70"/>
  <c r="N11" i="70"/>
  <c r="N12" i="70"/>
  <c r="N13" i="70"/>
  <c r="C22" i="70"/>
  <c r="C25" i="70"/>
  <c r="C47" i="70"/>
  <c r="O87" i="70"/>
  <c r="O88" i="70"/>
  <c r="O89" i="70"/>
  <c r="O90" i="70"/>
  <c r="O99" i="70"/>
  <c r="O110" i="70"/>
  <c r="O111" i="70"/>
  <c r="O112" i="70"/>
  <c r="B133" i="70"/>
  <c r="T181" i="70"/>
  <c r="L22" i="70"/>
  <c r="C26" i="70"/>
  <c r="B143" i="70"/>
  <c r="R206" i="69"/>
  <c r="R195" i="69"/>
  <c r="R184" i="69"/>
  <c r="B176" i="69"/>
  <c r="R172" i="69"/>
  <c r="B172" i="69"/>
  <c r="B132" i="69"/>
  <c r="B111" i="69"/>
  <c r="O114" i="69" s="1"/>
  <c r="B100" i="69"/>
  <c r="O103" i="69" s="1"/>
  <c r="B89" i="69"/>
  <c r="M77" i="69"/>
  <c r="M64" i="69"/>
  <c r="K36" i="69"/>
  <c r="F31" i="69"/>
  <c r="M29" i="69"/>
  <c r="L27" i="69"/>
  <c r="C14" i="69"/>
  <c r="C27" i="69" s="1"/>
  <c r="M72" i="69"/>
  <c r="L22" i="69"/>
  <c r="C19" i="69"/>
  <c r="N17" i="69"/>
  <c r="M20" i="69" s="1"/>
  <c r="M17" i="69"/>
  <c r="N16" i="69"/>
  <c r="M19" i="69" s="1"/>
  <c r="M16" i="69"/>
  <c r="C17" i="69"/>
  <c r="T181" i="69" s="1"/>
  <c r="N15" i="69"/>
  <c r="M15" i="69"/>
  <c r="L14" i="69"/>
  <c r="N14" i="69" s="1"/>
  <c r="L13" i="69"/>
  <c r="N13" i="69" s="1"/>
  <c r="L12" i="69"/>
  <c r="N12" i="69" s="1"/>
  <c r="C13" i="69"/>
  <c r="L11" i="69"/>
  <c r="N11" i="69" s="1"/>
  <c r="L10" i="69"/>
  <c r="M10" i="69" s="1"/>
  <c r="L9" i="69"/>
  <c r="N9" i="69" s="1"/>
  <c r="B133" i="69" l="1"/>
  <c r="V128" i="69"/>
  <c r="V129" i="69" s="1"/>
  <c r="G173" i="69"/>
  <c r="B128" i="70"/>
  <c r="C40" i="74"/>
  <c r="C41" i="74" s="1"/>
  <c r="C42" i="74" s="1"/>
  <c r="V127" i="74" s="1"/>
  <c r="C54" i="72"/>
  <c r="C51" i="72"/>
  <c r="M58" i="72"/>
  <c r="M60" i="72" s="1"/>
  <c r="C61" i="72" s="1"/>
  <c r="C180" i="78"/>
  <c r="F180" i="78" s="1"/>
  <c r="C40" i="72"/>
  <c r="C41" i="72" s="1"/>
  <c r="C42" i="72" s="1"/>
  <c r="B144" i="72" s="1"/>
  <c r="B87" i="70"/>
  <c r="T168" i="71"/>
  <c r="T169" i="71" s="1"/>
  <c r="Q158" i="81"/>
  <c r="C51" i="71"/>
  <c r="F19" i="78"/>
  <c r="G176" i="71"/>
  <c r="B178" i="71" s="1"/>
  <c r="B169" i="80"/>
  <c r="C76" i="79"/>
  <c r="B135" i="75"/>
  <c r="V131" i="75" s="1"/>
  <c r="B130" i="75"/>
  <c r="M157" i="75"/>
  <c r="M144" i="75"/>
  <c r="B144" i="75"/>
  <c r="B147" i="75" s="1"/>
  <c r="B157" i="75"/>
  <c r="B160" i="75" s="1"/>
  <c r="M146" i="75"/>
  <c r="N10" i="69"/>
  <c r="C75" i="74"/>
  <c r="C57" i="71"/>
  <c r="C58" i="71" s="1"/>
  <c r="M58" i="71"/>
  <c r="M60" i="71" s="1"/>
  <c r="C61" i="71" s="1"/>
  <c r="C45" i="80"/>
  <c r="M159" i="75"/>
  <c r="B146" i="75"/>
  <c r="Q116" i="81"/>
  <c r="C53" i="81"/>
  <c r="U22" i="81"/>
  <c r="B169" i="81" s="1"/>
  <c r="M33" i="81"/>
  <c r="M34" i="81"/>
  <c r="K39" i="81" s="1"/>
  <c r="T205" i="81"/>
  <c r="R207" i="81" s="1"/>
  <c r="R208" i="81" s="1"/>
  <c r="B128" i="81"/>
  <c r="T169" i="81"/>
  <c r="T170" i="81"/>
  <c r="R175" i="81" s="1"/>
  <c r="T182" i="81"/>
  <c r="T183" i="81" s="1"/>
  <c r="R185" i="81" s="1"/>
  <c r="R186" i="81" s="1"/>
  <c r="T180" i="81"/>
  <c r="C76" i="80"/>
  <c r="C180" i="80"/>
  <c r="F180" i="80" s="1"/>
  <c r="T180" i="80"/>
  <c r="C79" i="80"/>
  <c r="M78" i="80"/>
  <c r="M79" i="80" s="1"/>
  <c r="C80" i="80" s="1"/>
  <c r="M65" i="80"/>
  <c r="M66" i="80" s="1"/>
  <c r="C62" i="80" s="1"/>
  <c r="C61" i="80"/>
  <c r="C53" i="80"/>
  <c r="T169" i="80"/>
  <c r="T170" i="80"/>
  <c r="R175" i="80" s="1"/>
  <c r="T182" i="80"/>
  <c r="T183" i="80" s="1"/>
  <c r="R185" i="80" s="1"/>
  <c r="R186" i="80" s="1"/>
  <c r="M33" i="80"/>
  <c r="M34" i="80"/>
  <c r="K39" i="80" s="1"/>
  <c r="T205" i="80"/>
  <c r="R207" i="80" s="1"/>
  <c r="R208" i="80" s="1"/>
  <c r="U26" i="79"/>
  <c r="B169" i="79" s="1"/>
  <c r="C180" i="79"/>
  <c r="F180" i="79" s="1"/>
  <c r="C53" i="79"/>
  <c r="M65" i="79"/>
  <c r="M66" i="79" s="1"/>
  <c r="C62" i="79" s="1"/>
  <c r="C61" i="79"/>
  <c r="T180" i="79"/>
  <c r="C79" i="79"/>
  <c r="M78" i="79"/>
  <c r="M79" i="79" s="1"/>
  <c r="C80" i="79" s="1"/>
  <c r="T169" i="79"/>
  <c r="T182" i="79"/>
  <c r="T183" i="79" s="1"/>
  <c r="R185" i="79" s="1"/>
  <c r="R186" i="79" s="1"/>
  <c r="T170" i="79"/>
  <c r="R175" i="79" s="1"/>
  <c r="M33" i="79"/>
  <c r="M34" i="79"/>
  <c r="K39" i="79" s="1"/>
  <c r="T205" i="79"/>
  <c r="R207" i="79" s="1"/>
  <c r="R208" i="79" s="1"/>
  <c r="C41" i="78"/>
  <c r="C42" i="78" s="1"/>
  <c r="B134" i="78" s="1"/>
  <c r="C53" i="78"/>
  <c r="C76" i="78"/>
  <c r="B169" i="78"/>
  <c r="T180" i="78"/>
  <c r="C79" i="78"/>
  <c r="M78" i="78"/>
  <c r="M79" i="78" s="1"/>
  <c r="C80" i="78" s="1"/>
  <c r="M65" i="78"/>
  <c r="M66" i="78" s="1"/>
  <c r="C62" i="78" s="1"/>
  <c r="C61" i="78"/>
  <c r="T169" i="78"/>
  <c r="T182" i="78"/>
  <c r="T183" i="78" s="1"/>
  <c r="R185" i="78" s="1"/>
  <c r="R186" i="78" s="1"/>
  <c r="T170" i="78"/>
  <c r="R175" i="78" s="1"/>
  <c r="M33" i="78"/>
  <c r="M34" i="78"/>
  <c r="K39" i="78" s="1"/>
  <c r="T205" i="78"/>
  <c r="R207" i="78" s="1"/>
  <c r="R208" i="78" s="1"/>
  <c r="U26" i="77"/>
  <c r="B169" i="77" s="1"/>
  <c r="C53" i="77"/>
  <c r="M65" i="77"/>
  <c r="M66" i="77" s="1"/>
  <c r="C62" i="77" s="1"/>
  <c r="C61" i="77"/>
  <c r="C79" i="77"/>
  <c r="M78" i="77"/>
  <c r="M79" i="77" s="1"/>
  <c r="C80" i="77" s="1"/>
  <c r="T180" i="77"/>
  <c r="C180" i="77"/>
  <c r="F180" i="77" s="1"/>
  <c r="C76" i="77"/>
  <c r="T169" i="77"/>
  <c r="T170" i="77"/>
  <c r="R175" i="77" s="1"/>
  <c r="T182" i="77"/>
  <c r="T183" i="77" s="1"/>
  <c r="R185" i="77" s="1"/>
  <c r="R186" i="77" s="1"/>
  <c r="M33" i="77"/>
  <c r="M34" i="77"/>
  <c r="K39" i="77" s="1"/>
  <c r="T205" i="77"/>
  <c r="R207" i="77" s="1"/>
  <c r="R208" i="77" s="1"/>
  <c r="C74" i="74"/>
  <c r="T202" i="74"/>
  <c r="T203" i="74" s="1"/>
  <c r="T204" i="74" s="1"/>
  <c r="T179" i="74"/>
  <c r="M32" i="74"/>
  <c r="M33" i="74" s="1"/>
  <c r="M71" i="74"/>
  <c r="M73" i="74" s="1"/>
  <c r="M78" i="74" s="1"/>
  <c r="M79" i="74" s="1"/>
  <c r="C80" i="74" s="1"/>
  <c r="G172" i="74"/>
  <c r="B174" i="74" s="1"/>
  <c r="B169" i="74"/>
  <c r="C76" i="75"/>
  <c r="B134" i="75"/>
  <c r="V130" i="75" s="1"/>
  <c r="R130" i="75"/>
  <c r="C45" i="75"/>
  <c r="C46" i="75" s="1"/>
  <c r="C48" i="75" s="1"/>
  <c r="C49" i="75" s="1"/>
  <c r="C68" i="75"/>
  <c r="C69" i="75" s="1"/>
  <c r="C71" i="75" s="1"/>
  <c r="C72" i="75" s="1"/>
  <c r="M67" i="75"/>
  <c r="C63" i="75" s="1"/>
  <c r="B159" i="75"/>
  <c r="M80" i="75"/>
  <c r="C81" i="75" s="1"/>
  <c r="M98" i="75"/>
  <c r="M109" i="75"/>
  <c r="E110" i="75" s="1"/>
  <c r="M86" i="75"/>
  <c r="B90" i="75"/>
  <c r="B91" i="75" s="1"/>
  <c r="B92" i="75" s="1"/>
  <c r="B131" i="75"/>
  <c r="M65" i="75"/>
  <c r="M66" i="75" s="1"/>
  <c r="C62" i="75" s="1"/>
  <c r="C61" i="75"/>
  <c r="T180" i="75"/>
  <c r="C53" i="75"/>
  <c r="C180" i="75"/>
  <c r="F180" i="75" s="1"/>
  <c r="R131" i="75"/>
  <c r="C79" i="75"/>
  <c r="M78" i="75"/>
  <c r="M79" i="75" s="1"/>
  <c r="C80" i="75" s="1"/>
  <c r="T169" i="75"/>
  <c r="T170" i="75"/>
  <c r="R175" i="75" s="1"/>
  <c r="T182" i="75"/>
  <c r="T183" i="75" s="1"/>
  <c r="R185" i="75" s="1"/>
  <c r="R186" i="75" s="1"/>
  <c r="M33" i="75"/>
  <c r="M34" i="75"/>
  <c r="K39" i="75" s="1"/>
  <c r="T205" i="75"/>
  <c r="R207" i="75" s="1"/>
  <c r="R208" i="75" s="1"/>
  <c r="T168" i="74"/>
  <c r="T169" i="74" s="1"/>
  <c r="C57" i="74"/>
  <c r="C58" i="74" s="1"/>
  <c r="C52" i="74"/>
  <c r="G176" i="74"/>
  <c r="B178" i="74" s="1"/>
  <c r="C51" i="74"/>
  <c r="M58" i="74"/>
  <c r="M60" i="74" s="1"/>
  <c r="C54" i="74"/>
  <c r="B127" i="74"/>
  <c r="B98" i="74"/>
  <c r="B87" i="74"/>
  <c r="C57" i="72"/>
  <c r="C58" i="72" s="1"/>
  <c r="B169" i="72"/>
  <c r="C75" i="72"/>
  <c r="C74" i="72"/>
  <c r="G172" i="72"/>
  <c r="B174" i="72" s="1"/>
  <c r="C77" i="72"/>
  <c r="M71" i="72"/>
  <c r="M73" i="72" s="1"/>
  <c r="B127" i="72"/>
  <c r="B98" i="72"/>
  <c r="B109" i="72" s="1"/>
  <c r="B112" i="72" s="1"/>
  <c r="B113" i="72" s="1"/>
  <c r="B114" i="72" s="1"/>
  <c r="B87" i="72"/>
  <c r="T191" i="72"/>
  <c r="T192" i="72" s="1"/>
  <c r="T202" i="72"/>
  <c r="T203" i="72" s="1"/>
  <c r="T204" i="72" s="1"/>
  <c r="R209" i="72" s="1"/>
  <c r="T179" i="72"/>
  <c r="R187" i="72" s="1"/>
  <c r="M32" i="72"/>
  <c r="T168" i="72"/>
  <c r="B178" i="72"/>
  <c r="C52" i="72"/>
  <c r="T170" i="71"/>
  <c r="T202" i="71"/>
  <c r="T203" i="71" s="1"/>
  <c r="T204" i="71" s="1"/>
  <c r="R209" i="71" s="1"/>
  <c r="T179" i="71"/>
  <c r="R187" i="71" s="1"/>
  <c r="C40" i="71"/>
  <c r="C41" i="71" s="1"/>
  <c r="C42" i="71" s="1"/>
  <c r="R131" i="71" s="1"/>
  <c r="M32" i="71"/>
  <c r="M33" i="71" s="1"/>
  <c r="B98" i="71"/>
  <c r="B109" i="71" s="1"/>
  <c r="B112" i="71" s="1"/>
  <c r="B113" i="71" s="1"/>
  <c r="B114" i="71" s="1"/>
  <c r="B127" i="71"/>
  <c r="B87" i="71"/>
  <c r="C52" i="71"/>
  <c r="G172" i="71"/>
  <c r="B174" i="71" s="1"/>
  <c r="C75" i="71"/>
  <c r="C74" i="71"/>
  <c r="B169" i="71"/>
  <c r="C77" i="71"/>
  <c r="M71" i="71"/>
  <c r="M73" i="71" s="1"/>
  <c r="T182" i="71"/>
  <c r="G177" i="69"/>
  <c r="M9" i="69"/>
  <c r="T168" i="70"/>
  <c r="T169" i="70" s="1"/>
  <c r="M32" i="70"/>
  <c r="M33" i="70" s="1"/>
  <c r="C40" i="70"/>
  <c r="C41" i="70" s="1"/>
  <c r="C42" i="70" s="1"/>
  <c r="T202" i="70"/>
  <c r="T203" i="70" s="1"/>
  <c r="T204" i="70" s="1"/>
  <c r="T179" i="70"/>
  <c r="B98" i="70"/>
  <c r="B109" i="70" s="1"/>
  <c r="B112" i="70" s="1"/>
  <c r="B113" i="70" s="1"/>
  <c r="B114" i="70" s="1"/>
  <c r="M58" i="70"/>
  <c r="M60" i="70" s="1"/>
  <c r="C57" i="70"/>
  <c r="C58" i="70" s="1"/>
  <c r="C54" i="70"/>
  <c r="C52" i="70"/>
  <c r="G176" i="70"/>
  <c r="B178" i="70" s="1"/>
  <c r="C51" i="70"/>
  <c r="C74" i="70"/>
  <c r="G172" i="70"/>
  <c r="B174" i="70" s="1"/>
  <c r="B169" i="70"/>
  <c r="C77" i="70"/>
  <c r="C75" i="70"/>
  <c r="M71" i="70"/>
  <c r="M73" i="70" s="1"/>
  <c r="C21" i="69"/>
  <c r="C54" i="69" s="1"/>
  <c r="O91" i="69"/>
  <c r="O100" i="69"/>
  <c r="P22" i="69"/>
  <c r="T191" i="69"/>
  <c r="T192" i="69" s="1"/>
  <c r="T202" i="69"/>
  <c r="T203" i="69" s="1"/>
  <c r="T204" i="69" s="1"/>
  <c r="T205" i="69" s="1"/>
  <c r="R207" i="69" s="1"/>
  <c r="R208" i="69" s="1"/>
  <c r="T179" i="69"/>
  <c r="T180" i="69" s="1"/>
  <c r="T168" i="69"/>
  <c r="T169" i="69" s="1"/>
  <c r="M32" i="69"/>
  <c r="M33" i="69" s="1"/>
  <c r="M14" i="69"/>
  <c r="C47" i="69"/>
  <c r="C70" i="69"/>
  <c r="O88" i="69"/>
  <c r="O90" i="69"/>
  <c r="O92" i="69"/>
  <c r="O110" i="69"/>
  <c r="O112" i="69"/>
  <c r="M11" i="69"/>
  <c r="M59" i="69"/>
  <c r="R132" i="69"/>
  <c r="R133" i="69" s="1"/>
  <c r="B143" i="69"/>
  <c r="B156" i="69"/>
  <c r="M12" i="69"/>
  <c r="M13" i="69"/>
  <c r="C22" i="69"/>
  <c r="C25" i="69"/>
  <c r="B86" i="69"/>
  <c r="O87" i="69"/>
  <c r="O89" i="69"/>
  <c r="O99" i="69"/>
  <c r="O111" i="69"/>
  <c r="C26" i="69"/>
  <c r="R206" i="68"/>
  <c r="R195" i="68"/>
  <c r="R184" i="68"/>
  <c r="B176" i="68"/>
  <c r="R172" i="68"/>
  <c r="B172" i="68"/>
  <c r="B132" i="68"/>
  <c r="B111" i="68"/>
  <c r="B100" i="68"/>
  <c r="B89" i="68"/>
  <c r="M77" i="68"/>
  <c r="M64" i="68"/>
  <c r="K36" i="68"/>
  <c r="F31" i="68"/>
  <c r="M29" i="68"/>
  <c r="L27" i="68"/>
  <c r="C14" i="68"/>
  <c r="M72" i="68"/>
  <c r="L22" i="68"/>
  <c r="C19" i="68"/>
  <c r="N17" i="68"/>
  <c r="M20" i="68" s="1"/>
  <c r="M17" i="68"/>
  <c r="N16" i="68"/>
  <c r="M16" i="68"/>
  <c r="C17" i="68"/>
  <c r="N15" i="68"/>
  <c r="M15" i="68"/>
  <c r="L14" i="68"/>
  <c r="N14" i="68" s="1"/>
  <c r="L13" i="68"/>
  <c r="N13" i="68" s="1"/>
  <c r="L12" i="68"/>
  <c r="N12" i="68" s="1"/>
  <c r="C13" i="68"/>
  <c r="L11" i="68"/>
  <c r="N11" i="68" s="1"/>
  <c r="L10" i="68"/>
  <c r="N10" i="68" s="1"/>
  <c r="N9" i="68"/>
  <c r="L9" i="68"/>
  <c r="M9" i="68" s="1"/>
  <c r="G177" i="68" l="1"/>
  <c r="M19" i="68"/>
  <c r="G173" i="68" s="1"/>
  <c r="B133" i="68"/>
  <c r="V128" i="68"/>
  <c r="V129" i="68" s="1"/>
  <c r="B146" i="70"/>
  <c r="R130" i="70"/>
  <c r="V127" i="70"/>
  <c r="T180" i="74"/>
  <c r="R187" i="74"/>
  <c r="T205" i="74"/>
  <c r="R207" i="74" s="1"/>
  <c r="R208" i="74" s="1"/>
  <c r="R209" i="74"/>
  <c r="C76" i="74"/>
  <c r="V126" i="75"/>
  <c r="V132" i="75" s="1"/>
  <c r="V133" i="75" s="1"/>
  <c r="V134" i="75" s="1"/>
  <c r="V135" i="75" s="1"/>
  <c r="R135" i="75"/>
  <c r="C53" i="72"/>
  <c r="M65" i="72"/>
  <c r="M66" i="72" s="1"/>
  <c r="C62" i="72" s="1"/>
  <c r="V127" i="72"/>
  <c r="V131" i="78"/>
  <c r="B131" i="78"/>
  <c r="T171" i="71"/>
  <c r="R173" i="71" s="1"/>
  <c r="R174" i="71" s="1"/>
  <c r="R175" i="71"/>
  <c r="T183" i="71"/>
  <c r="R185" i="71" s="1"/>
  <c r="R186" i="71" s="1"/>
  <c r="C53" i="71"/>
  <c r="V127" i="71"/>
  <c r="M34" i="69"/>
  <c r="M35" i="69" s="1"/>
  <c r="K37" i="69" s="1"/>
  <c r="K38" i="69" s="1"/>
  <c r="R187" i="69"/>
  <c r="R209" i="69"/>
  <c r="R210" i="69" s="1"/>
  <c r="H36" i="69" s="1"/>
  <c r="G176" i="69"/>
  <c r="B178" i="69" s="1"/>
  <c r="T180" i="70"/>
  <c r="R187" i="70"/>
  <c r="T205" i="70"/>
  <c r="R207" i="70" s="1"/>
  <c r="R208" i="70" s="1"/>
  <c r="R209" i="70"/>
  <c r="T181" i="68"/>
  <c r="M65" i="71"/>
  <c r="M66" i="71" s="1"/>
  <c r="C62" i="71" s="1"/>
  <c r="C180" i="71"/>
  <c r="F180" i="71" s="1"/>
  <c r="B90" i="78"/>
  <c r="B91" i="78" s="1"/>
  <c r="B92" i="78" s="1"/>
  <c r="C79" i="74"/>
  <c r="V135" i="78"/>
  <c r="T205" i="71"/>
  <c r="R207" i="71" s="1"/>
  <c r="R208" i="71" s="1"/>
  <c r="R210" i="71" s="1"/>
  <c r="H36" i="71" s="1"/>
  <c r="M109" i="71"/>
  <c r="E110" i="71" s="1"/>
  <c r="B115" i="71" s="1"/>
  <c r="B116" i="71" s="1"/>
  <c r="C34" i="71" s="1"/>
  <c r="B135" i="78"/>
  <c r="X135" i="78" s="1"/>
  <c r="M86" i="78"/>
  <c r="E88" i="78" s="1"/>
  <c r="B93" i="78" s="1"/>
  <c r="R131" i="78"/>
  <c r="R134" i="78"/>
  <c r="X134" i="78"/>
  <c r="R132" i="68"/>
  <c r="R133" i="68" s="1"/>
  <c r="C53" i="70"/>
  <c r="M34" i="74"/>
  <c r="K39" i="74" s="1"/>
  <c r="C52" i="69"/>
  <c r="M58" i="69"/>
  <c r="M60" i="69" s="1"/>
  <c r="T182" i="70"/>
  <c r="T183" i="70" s="1"/>
  <c r="R185" i="70" s="1"/>
  <c r="R186" i="70" s="1"/>
  <c r="M144" i="78"/>
  <c r="M147" i="78" s="1"/>
  <c r="M98" i="78"/>
  <c r="E99" i="78" s="1"/>
  <c r="B104" i="78" s="1"/>
  <c r="M145" i="75"/>
  <c r="M147" i="75"/>
  <c r="M148" i="75" s="1"/>
  <c r="M149" i="75" s="1"/>
  <c r="M67" i="71"/>
  <c r="C63" i="71" s="1"/>
  <c r="T170" i="70"/>
  <c r="T193" i="70" s="1"/>
  <c r="T194" i="70" s="1"/>
  <c r="R196" i="70" s="1"/>
  <c r="R197" i="70" s="1"/>
  <c r="V199" i="71"/>
  <c r="R198" i="71" s="1"/>
  <c r="R134" i="75"/>
  <c r="B146" i="78"/>
  <c r="X131" i="78"/>
  <c r="M109" i="78"/>
  <c r="M116" i="78" s="1"/>
  <c r="B112" i="78" s="1"/>
  <c r="B113" i="78" s="1"/>
  <c r="B114" i="78" s="1"/>
  <c r="M158" i="75"/>
  <c r="M160" i="75"/>
  <c r="M161" i="75" s="1"/>
  <c r="M162" i="75" s="1"/>
  <c r="M13" i="68"/>
  <c r="B135" i="71"/>
  <c r="T193" i="71"/>
  <c r="T194" i="71" s="1"/>
  <c r="R196" i="71" s="1"/>
  <c r="R197" i="71" s="1"/>
  <c r="C40" i="81"/>
  <c r="C41" i="81" s="1"/>
  <c r="C42" i="81" s="1"/>
  <c r="C180" i="81"/>
  <c r="F180" i="81" s="1"/>
  <c r="T171" i="81"/>
  <c r="R173" i="81" s="1"/>
  <c r="R174" i="81" s="1"/>
  <c r="T193" i="81"/>
  <c r="T194" i="81" s="1"/>
  <c r="R196" i="81" s="1"/>
  <c r="R197" i="81" s="1"/>
  <c r="V199" i="81"/>
  <c r="R198" i="81" s="1"/>
  <c r="R210" i="81"/>
  <c r="H36" i="81" s="1"/>
  <c r="AE206" i="81"/>
  <c r="M35" i="81"/>
  <c r="K37" i="81" s="1"/>
  <c r="K38" i="81" s="1"/>
  <c r="R188" i="81"/>
  <c r="H34" i="81" s="1"/>
  <c r="AE184" i="81"/>
  <c r="X130" i="80"/>
  <c r="R130" i="80"/>
  <c r="M144" i="80"/>
  <c r="M147" i="80" s="1"/>
  <c r="B130" i="80"/>
  <c r="C68" i="80"/>
  <c r="C69" i="80" s="1"/>
  <c r="C71" i="80" s="1"/>
  <c r="C72" i="80" s="1"/>
  <c r="M159" i="80"/>
  <c r="M146" i="80"/>
  <c r="B159" i="80"/>
  <c r="B146" i="80"/>
  <c r="R210" i="80"/>
  <c r="H36" i="80" s="1"/>
  <c r="AE206" i="80"/>
  <c r="M35" i="80"/>
  <c r="K37" i="80" s="1"/>
  <c r="K38" i="80" s="1"/>
  <c r="B135" i="80"/>
  <c r="M98" i="80"/>
  <c r="V135" i="80"/>
  <c r="M109" i="80"/>
  <c r="M86" i="80"/>
  <c r="B90" i="80"/>
  <c r="B91" i="80" s="1"/>
  <c r="B92" i="80" s="1"/>
  <c r="V130" i="80"/>
  <c r="V136" i="80" s="1"/>
  <c r="C46" i="80"/>
  <c r="C48" i="80" s="1"/>
  <c r="C49" i="80" s="1"/>
  <c r="X136" i="80"/>
  <c r="B144" i="80"/>
  <c r="B147" i="80" s="1"/>
  <c r="B157" i="80"/>
  <c r="B160" i="80" s="1"/>
  <c r="M157" i="80"/>
  <c r="M160" i="80" s="1"/>
  <c r="M80" i="80"/>
  <c r="V134" i="80"/>
  <c r="V131" i="80"/>
  <c r="X131" i="80"/>
  <c r="M67" i="80"/>
  <c r="B131" i="80"/>
  <c r="B134" i="80"/>
  <c r="R131" i="80"/>
  <c r="T171" i="80"/>
  <c r="R173" i="80" s="1"/>
  <c r="R174" i="80" s="1"/>
  <c r="T193" i="80"/>
  <c r="T194" i="80" s="1"/>
  <c r="R196" i="80" s="1"/>
  <c r="R197" i="80" s="1"/>
  <c r="V199" i="80"/>
  <c r="R198" i="80" s="1"/>
  <c r="R188" i="80"/>
  <c r="H34" i="80" s="1"/>
  <c r="AE184" i="80"/>
  <c r="C40" i="79"/>
  <c r="C41" i="79" s="1"/>
  <c r="C42" i="79" s="1"/>
  <c r="F19" i="79"/>
  <c r="R210" i="79"/>
  <c r="AE206" i="79"/>
  <c r="M35" i="79"/>
  <c r="K37" i="79" s="1"/>
  <c r="K38" i="79" s="1"/>
  <c r="T171" i="79"/>
  <c r="R173" i="79" s="1"/>
  <c r="R174" i="79" s="1"/>
  <c r="T193" i="79"/>
  <c r="T194" i="79" s="1"/>
  <c r="R196" i="79" s="1"/>
  <c r="R197" i="79" s="1"/>
  <c r="V199" i="79"/>
  <c r="R198" i="79" s="1"/>
  <c r="R188" i="79"/>
  <c r="H34" i="79" s="1"/>
  <c r="AE184" i="79"/>
  <c r="M67" i="78"/>
  <c r="B157" i="78"/>
  <c r="B160" i="78" s="1"/>
  <c r="X130" i="78"/>
  <c r="X136" i="78" s="1"/>
  <c r="R130" i="78"/>
  <c r="K128" i="78" s="1"/>
  <c r="M157" i="78"/>
  <c r="M160" i="78" s="1"/>
  <c r="B144" i="78"/>
  <c r="B147" i="78" s="1"/>
  <c r="V130" i="78"/>
  <c r="V136" i="78" s="1"/>
  <c r="V137" i="78" s="1"/>
  <c r="V138" i="78" s="1"/>
  <c r="B130" i="78"/>
  <c r="C68" i="78"/>
  <c r="C69" i="78" s="1"/>
  <c r="C71" i="78" s="1"/>
  <c r="C72" i="78" s="1"/>
  <c r="C73" i="78" s="1"/>
  <c r="C78" i="78" s="1"/>
  <c r="C82" i="78" s="1"/>
  <c r="C45" i="78"/>
  <c r="C46" i="78" s="1"/>
  <c r="C48" i="78" s="1"/>
  <c r="C49" i="78" s="1"/>
  <c r="C59" i="78" s="1"/>
  <c r="M159" i="78"/>
  <c r="M146" i="78"/>
  <c r="B159" i="78"/>
  <c r="M80" i="78"/>
  <c r="C81" i="78" s="1"/>
  <c r="E81" i="78" s="1"/>
  <c r="V134" i="78"/>
  <c r="M145" i="78"/>
  <c r="R210" i="78"/>
  <c r="AE206" i="78"/>
  <c r="M35" i="78"/>
  <c r="K37" i="78" s="1"/>
  <c r="K38" i="78" s="1"/>
  <c r="T171" i="78"/>
  <c r="R173" i="78" s="1"/>
  <c r="R174" i="78" s="1"/>
  <c r="T193" i="78"/>
  <c r="T194" i="78" s="1"/>
  <c r="R196" i="78" s="1"/>
  <c r="R197" i="78" s="1"/>
  <c r="V199" i="78"/>
  <c r="R198" i="78" s="1"/>
  <c r="R188" i="78"/>
  <c r="H34" i="78" s="1"/>
  <c r="AE184" i="78"/>
  <c r="M157" i="74"/>
  <c r="B144" i="74"/>
  <c r="B147" i="74" s="1"/>
  <c r="M144" i="74"/>
  <c r="T170" i="74"/>
  <c r="T171" i="74" s="1"/>
  <c r="R173" i="74" s="1"/>
  <c r="R174" i="74" s="1"/>
  <c r="M159" i="74"/>
  <c r="M146" i="74"/>
  <c r="F19" i="77"/>
  <c r="C40" i="77"/>
  <c r="C41" i="77" s="1"/>
  <c r="C42" i="77" s="1"/>
  <c r="V127" i="77" s="1"/>
  <c r="R210" i="77"/>
  <c r="AE206" i="77"/>
  <c r="M35" i="77"/>
  <c r="K37" i="77" s="1"/>
  <c r="K38" i="77" s="1"/>
  <c r="R188" i="77"/>
  <c r="H34" i="77" s="1"/>
  <c r="AE184" i="77"/>
  <c r="T171" i="77"/>
  <c r="R173" i="77" s="1"/>
  <c r="R174" i="77" s="1"/>
  <c r="T193" i="77"/>
  <c r="T194" i="77" s="1"/>
  <c r="R196" i="77" s="1"/>
  <c r="R197" i="77" s="1"/>
  <c r="V199" i="77"/>
  <c r="R198" i="77" s="1"/>
  <c r="B130" i="74"/>
  <c r="T182" i="74"/>
  <c r="T183" i="74" s="1"/>
  <c r="R185" i="74" s="1"/>
  <c r="R186" i="74" s="1"/>
  <c r="R131" i="74"/>
  <c r="E88" i="75"/>
  <c r="B93" i="75" s="1"/>
  <c r="B94" i="75" s="1"/>
  <c r="C32" i="75" s="1"/>
  <c r="E99" i="75"/>
  <c r="B104" i="75" s="1"/>
  <c r="B105" i="75" s="1"/>
  <c r="C33" i="75" s="1"/>
  <c r="O80" i="75"/>
  <c r="T171" i="75"/>
  <c r="R173" i="75" s="1"/>
  <c r="R174" i="75" s="1"/>
  <c r="T193" i="75"/>
  <c r="T194" i="75" s="1"/>
  <c r="R196" i="75" s="1"/>
  <c r="R197" i="75" s="1"/>
  <c r="V199" i="75"/>
  <c r="R198" i="75" s="1"/>
  <c r="E63" i="75"/>
  <c r="F30" i="75"/>
  <c r="C59" i="75"/>
  <c r="C50" i="75"/>
  <c r="C55" i="75" s="1"/>
  <c r="B145" i="75"/>
  <c r="B148" i="75"/>
  <c r="B149" i="75" s="1"/>
  <c r="C73" i="75"/>
  <c r="C78" i="75" s="1"/>
  <c r="C82" i="75" s="1"/>
  <c r="E81" i="75"/>
  <c r="R210" i="75"/>
  <c r="H36" i="75" s="1"/>
  <c r="AE206" i="75"/>
  <c r="M35" i="75"/>
  <c r="K37" i="75" s="1"/>
  <c r="K38" i="75" s="1"/>
  <c r="R188" i="75"/>
  <c r="H34" i="75" s="1"/>
  <c r="AE184" i="75"/>
  <c r="B158" i="75"/>
  <c r="B161" i="75"/>
  <c r="B162" i="75" s="1"/>
  <c r="D130" i="75"/>
  <c r="F130" i="75" s="1"/>
  <c r="B136" i="75"/>
  <c r="K128" i="75"/>
  <c r="R136" i="75"/>
  <c r="O67" i="75"/>
  <c r="B157" i="74"/>
  <c r="C45" i="74"/>
  <c r="C46" i="74" s="1"/>
  <c r="C48" i="74" s="1"/>
  <c r="C49" i="74" s="1"/>
  <c r="C68" i="74"/>
  <c r="C69" i="74" s="1"/>
  <c r="C71" i="74" s="1"/>
  <c r="C72" i="74" s="1"/>
  <c r="B146" i="74"/>
  <c r="C53" i="74"/>
  <c r="B159" i="74"/>
  <c r="M86" i="74"/>
  <c r="B90" i="74"/>
  <c r="B91" i="74" s="1"/>
  <c r="B92" i="74" s="1"/>
  <c r="B131" i="74"/>
  <c r="B109" i="74"/>
  <c r="B112" i="74" s="1"/>
  <c r="B113" i="74" s="1"/>
  <c r="B114" i="74" s="1"/>
  <c r="B101" i="74"/>
  <c r="B102" i="74" s="1"/>
  <c r="B103" i="74" s="1"/>
  <c r="C61" i="74"/>
  <c r="M65" i="74"/>
  <c r="M66" i="74" s="1"/>
  <c r="C62" i="74" s="1"/>
  <c r="B134" i="74"/>
  <c r="V130" i="74" s="1"/>
  <c r="B128" i="74"/>
  <c r="B135" i="74"/>
  <c r="V131" i="74" s="1"/>
  <c r="M98" i="74"/>
  <c r="M67" i="74"/>
  <c r="R130" i="74"/>
  <c r="M80" i="74"/>
  <c r="C180" i="72"/>
  <c r="F180" i="72" s="1"/>
  <c r="B157" i="72"/>
  <c r="R130" i="72"/>
  <c r="B147" i="72"/>
  <c r="C45" i="72"/>
  <c r="C46" i="72" s="1"/>
  <c r="C48" i="72" s="1"/>
  <c r="C49" i="72" s="1"/>
  <c r="C68" i="72"/>
  <c r="C69" i="72" s="1"/>
  <c r="C71" i="72" s="1"/>
  <c r="C72" i="72" s="1"/>
  <c r="B146" i="72"/>
  <c r="M86" i="72"/>
  <c r="B159" i="72"/>
  <c r="C76" i="72"/>
  <c r="T180" i="72"/>
  <c r="M78" i="72"/>
  <c r="M79" i="72" s="1"/>
  <c r="C80" i="72" s="1"/>
  <c r="C79" i="72"/>
  <c r="T205" i="72"/>
  <c r="R207" i="72" s="1"/>
  <c r="R208" i="72" s="1"/>
  <c r="B90" i="72"/>
  <c r="B91" i="72" s="1"/>
  <c r="B92" i="72" s="1"/>
  <c r="M67" i="72"/>
  <c r="T169" i="72"/>
  <c r="T170" i="72"/>
  <c r="R175" i="72" s="1"/>
  <c r="T182" i="72"/>
  <c r="T183" i="72" s="1"/>
  <c r="R185" i="72" s="1"/>
  <c r="R186" i="72" s="1"/>
  <c r="B131" i="72"/>
  <c r="B101" i="72"/>
  <c r="B102" i="72" s="1"/>
  <c r="B103" i="72" s="1"/>
  <c r="M33" i="72"/>
  <c r="M34" i="72"/>
  <c r="K39" i="72" s="1"/>
  <c r="B134" i="72"/>
  <c r="B128" i="72"/>
  <c r="B135" i="72"/>
  <c r="M109" i="72"/>
  <c r="E110" i="72" s="1"/>
  <c r="B115" i="72" s="1"/>
  <c r="B116" i="72" s="1"/>
  <c r="C34" i="72" s="1"/>
  <c r="M98" i="72"/>
  <c r="B130" i="72"/>
  <c r="M80" i="72"/>
  <c r="R131" i="72"/>
  <c r="M80" i="71"/>
  <c r="M34" i="71"/>
  <c r="K39" i="71" s="1"/>
  <c r="M98" i="71"/>
  <c r="E99" i="71" s="1"/>
  <c r="B104" i="71" s="1"/>
  <c r="R130" i="71"/>
  <c r="R136" i="71" s="1"/>
  <c r="B131" i="71"/>
  <c r="B90" i="71"/>
  <c r="B91" i="71" s="1"/>
  <c r="B92" i="71" s="1"/>
  <c r="B130" i="71"/>
  <c r="T180" i="71"/>
  <c r="R188" i="71"/>
  <c r="H34" i="71" s="1"/>
  <c r="B101" i="71"/>
  <c r="B102" i="71" s="1"/>
  <c r="B103" i="71" s="1"/>
  <c r="M86" i="71"/>
  <c r="B157" i="71"/>
  <c r="B144" i="71"/>
  <c r="B147" i="71" s="1"/>
  <c r="C68" i="71"/>
  <c r="C69" i="71" s="1"/>
  <c r="C71" i="71" s="1"/>
  <c r="C72" i="71" s="1"/>
  <c r="C73" i="71" s="1"/>
  <c r="C45" i="71"/>
  <c r="C46" i="71" s="1"/>
  <c r="C48" i="71" s="1"/>
  <c r="C49" i="71" s="1"/>
  <c r="C59" i="71" s="1"/>
  <c r="B159" i="71"/>
  <c r="B146" i="71"/>
  <c r="C76" i="71"/>
  <c r="B134" i="71"/>
  <c r="B128" i="71"/>
  <c r="C81" i="71"/>
  <c r="C79" i="71"/>
  <c r="M78" i="71"/>
  <c r="M79" i="71" s="1"/>
  <c r="C80" i="71" s="1"/>
  <c r="M59" i="68"/>
  <c r="M12" i="68"/>
  <c r="M14" i="68"/>
  <c r="M11" i="68"/>
  <c r="T182" i="69"/>
  <c r="T183" i="69" s="1"/>
  <c r="R185" i="69" s="1"/>
  <c r="R186" i="69" s="1"/>
  <c r="B101" i="70"/>
  <c r="B102" i="70" s="1"/>
  <c r="B103" i="70" s="1"/>
  <c r="M34" i="70"/>
  <c r="K39" i="70" s="1"/>
  <c r="M67" i="70"/>
  <c r="C63" i="70" s="1"/>
  <c r="C45" i="70"/>
  <c r="C46" i="70" s="1"/>
  <c r="C48" i="70" s="1"/>
  <c r="C49" i="70" s="1"/>
  <c r="C68" i="70"/>
  <c r="C69" i="70" s="1"/>
  <c r="C71" i="70" s="1"/>
  <c r="C72" i="70" s="1"/>
  <c r="B159" i="70"/>
  <c r="B131" i="70"/>
  <c r="B135" i="70"/>
  <c r="M109" i="70"/>
  <c r="M98" i="70"/>
  <c r="B157" i="70"/>
  <c r="B160" i="70" s="1"/>
  <c r="B134" i="70"/>
  <c r="M86" i="70"/>
  <c r="B130" i="70"/>
  <c r="B144" i="70"/>
  <c r="B147" i="70" s="1"/>
  <c r="B90" i="70"/>
  <c r="B91" i="70" s="1"/>
  <c r="B92" i="70" s="1"/>
  <c r="R131" i="70"/>
  <c r="C76" i="70"/>
  <c r="M80" i="70"/>
  <c r="M78" i="70"/>
  <c r="M79" i="70" s="1"/>
  <c r="C80" i="70" s="1"/>
  <c r="C79" i="70"/>
  <c r="M65" i="70"/>
  <c r="M66" i="70" s="1"/>
  <c r="C62" i="70" s="1"/>
  <c r="C61" i="70"/>
  <c r="C180" i="70"/>
  <c r="F180" i="70" s="1"/>
  <c r="C40" i="69"/>
  <c r="C41" i="69" s="1"/>
  <c r="C42" i="69" s="1"/>
  <c r="B131" i="69" s="1"/>
  <c r="C51" i="69"/>
  <c r="T170" i="69"/>
  <c r="R175" i="69" s="1"/>
  <c r="C74" i="69"/>
  <c r="C77" i="69"/>
  <c r="M71" i="69"/>
  <c r="M73" i="69" s="1"/>
  <c r="G172" i="69"/>
  <c r="B174" i="69" s="1"/>
  <c r="C75" i="69"/>
  <c r="B127" i="69"/>
  <c r="B87" i="69"/>
  <c r="B98" i="69"/>
  <c r="B109" i="69" s="1"/>
  <c r="B112" i="69" s="1"/>
  <c r="C57" i="69"/>
  <c r="C58" i="69" s="1"/>
  <c r="C21" i="68"/>
  <c r="M115" i="68" s="1"/>
  <c r="Q27" i="68"/>
  <c r="S27" i="68" s="1"/>
  <c r="F20" i="68" s="1"/>
  <c r="C27" i="68"/>
  <c r="C26" i="68"/>
  <c r="B143" i="68"/>
  <c r="B86" i="68"/>
  <c r="C25" i="68"/>
  <c r="B156" i="68"/>
  <c r="C70" i="68"/>
  <c r="C47" i="68"/>
  <c r="P22" i="68"/>
  <c r="O88" i="68"/>
  <c r="O90" i="68"/>
  <c r="O92" i="68"/>
  <c r="O100" i="68"/>
  <c r="O103" i="68"/>
  <c r="O111" i="68"/>
  <c r="O114" i="68"/>
  <c r="M10" i="68"/>
  <c r="C22" i="68"/>
  <c r="M104" i="68" s="1"/>
  <c r="O87" i="68"/>
  <c r="O89" i="68"/>
  <c r="O91" i="68"/>
  <c r="O99" i="68"/>
  <c r="O110" i="68"/>
  <c r="O112" i="68"/>
  <c r="R206" i="67"/>
  <c r="R195" i="67"/>
  <c r="R184" i="67"/>
  <c r="B176" i="67"/>
  <c r="R172" i="67"/>
  <c r="B172" i="67"/>
  <c r="B132" i="67"/>
  <c r="B111" i="67"/>
  <c r="B100" i="67"/>
  <c r="O103" i="67" s="1"/>
  <c r="B89" i="67"/>
  <c r="M77" i="67"/>
  <c r="M64" i="67"/>
  <c r="K36" i="67"/>
  <c r="F31" i="67"/>
  <c r="M29" i="67"/>
  <c r="L27" i="67"/>
  <c r="C14" i="67"/>
  <c r="B86" i="67" s="1"/>
  <c r="P22" i="67"/>
  <c r="M59" i="67"/>
  <c r="C19" i="67"/>
  <c r="N17" i="67"/>
  <c r="M17" i="67"/>
  <c r="N16" i="67"/>
  <c r="M16" i="67"/>
  <c r="C17" i="67"/>
  <c r="O90" i="67" s="1"/>
  <c r="N15" i="67"/>
  <c r="M15" i="67"/>
  <c r="L14" i="67"/>
  <c r="M14" i="67" s="1"/>
  <c r="L13" i="67"/>
  <c r="N13" i="67" s="1"/>
  <c r="L12" i="67"/>
  <c r="N12" i="67" s="1"/>
  <c r="C13" i="67"/>
  <c r="L11" i="67"/>
  <c r="N11" i="67" s="1"/>
  <c r="L10" i="67"/>
  <c r="N10" i="67" s="1"/>
  <c r="L9" i="67"/>
  <c r="N9" i="67" s="1"/>
  <c r="R206" i="66"/>
  <c r="R195" i="66"/>
  <c r="R184" i="66"/>
  <c r="B176" i="66"/>
  <c r="R172" i="66"/>
  <c r="B172" i="66"/>
  <c r="B132" i="66"/>
  <c r="B133" i="66" s="1"/>
  <c r="B111" i="66"/>
  <c r="O112" i="66" s="1"/>
  <c r="B100" i="66"/>
  <c r="O102" i="66" s="1"/>
  <c r="B89" i="66"/>
  <c r="O93" i="66" s="1"/>
  <c r="M77" i="66"/>
  <c r="M64" i="66"/>
  <c r="K36" i="66"/>
  <c r="M29" i="66"/>
  <c r="L27" i="66"/>
  <c r="C14" i="66"/>
  <c r="M72" i="66"/>
  <c r="M59" i="66"/>
  <c r="C19" i="66"/>
  <c r="N17" i="66"/>
  <c r="M17" i="66"/>
  <c r="N16" i="66"/>
  <c r="M16" i="66"/>
  <c r="C17" i="66"/>
  <c r="N15" i="66"/>
  <c r="M19" i="66" s="1"/>
  <c r="M15" i="66"/>
  <c r="L14" i="66"/>
  <c r="N14" i="66" s="1"/>
  <c r="L13" i="66"/>
  <c r="M13" i="66" s="1"/>
  <c r="L12" i="66"/>
  <c r="M12" i="66" s="1"/>
  <c r="C13" i="66"/>
  <c r="L11" i="66"/>
  <c r="M11" i="66" s="1"/>
  <c r="L10" i="66"/>
  <c r="N10" i="66" s="1"/>
  <c r="L9" i="66"/>
  <c r="M9" i="66" s="1"/>
  <c r="M64" i="65"/>
  <c r="R206" i="65"/>
  <c r="R195" i="65"/>
  <c r="R184" i="65"/>
  <c r="B176" i="65"/>
  <c r="R172" i="65"/>
  <c r="B172" i="65"/>
  <c r="B132" i="65"/>
  <c r="B111" i="65"/>
  <c r="B100" i="65"/>
  <c r="O103" i="65" s="1"/>
  <c r="B89" i="65"/>
  <c r="O92" i="65" s="1"/>
  <c r="M77" i="65"/>
  <c r="K36" i="65"/>
  <c r="F31" i="65"/>
  <c r="M29" i="65"/>
  <c r="L27" i="65"/>
  <c r="C14" i="65"/>
  <c r="M72" i="65"/>
  <c r="L22" i="65"/>
  <c r="C19" i="65"/>
  <c r="N17" i="65"/>
  <c r="M17" i="65"/>
  <c r="N16" i="65"/>
  <c r="M20" i="65" s="1"/>
  <c r="M16" i="65"/>
  <c r="C17" i="65"/>
  <c r="N15" i="65"/>
  <c r="M15" i="65"/>
  <c r="L14" i="65"/>
  <c r="N14" i="65" s="1"/>
  <c r="M19" i="65" s="1"/>
  <c r="L13" i="65"/>
  <c r="M13" i="65" s="1"/>
  <c r="L12" i="65"/>
  <c r="M12" i="65" s="1"/>
  <c r="C13" i="65"/>
  <c r="L11" i="65"/>
  <c r="M11" i="65" s="1"/>
  <c r="L10" i="65"/>
  <c r="N10" i="65" s="1"/>
  <c r="L9" i="65"/>
  <c r="M9" i="65" s="1"/>
  <c r="F31" i="64"/>
  <c r="F30" i="64"/>
  <c r="M77" i="64"/>
  <c r="V126" i="72" l="1"/>
  <c r="V132" i="72" s="1"/>
  <c r="B148" i="71"/>
  <c r="B149" i="71" s="1"/>
  <c r="AE206" i="71"/>
  <c r="V126" i="70"/>
  <c r="V132" i="70" s="1"/>
  <c r="G173" i="66"/>
  <c r="M20" i="66"/>
  <c r="G173" i="65"/>
  <c r="B133" i="65"/>
  <c r="V128" i="65"/>
  <c r="V129" i="65" s="1"/>
  <c r="R132" i="67"/>
  <c r="R133" i="67" s="1"/>
  <c r="V128" i="67"/>
  <c r="V129" i="67" s="1"/>
  <c r="R135" i="70"/>
  <c r="V131" i="70"/>
  <c r="M19" i="67"/>
  <c r="G173" i="67" s="1"/>
  <c r="M20" i="67"/>
  <c r="G177" i="67" s="1"/>
  <c r="R134" i="70"/>
  <c r="V130" i="70"/>
  <c r="B157" i="81"/>
  <c r="B160" i="81" s="1"/>
  <c r="B161" i="81" s="1"/>
  <c r="S157" i="81"/>
  <c r="AE184" i="74"/>
  <c r="T193" i="74"/>
  <c r="T194" i="74" s="1"/>
  <c r="R196" i="74" s="1"/>
  <c r="R197" i="74" s="1"/>
  <c r="R199" i="74" s="1"/>
  <c r="H35" i="74" s="1"/>
  <c r="V199" i="74"/>
  <c r="R198" i="74" s="1"/>
  <c r="R175" i="74"/>
  <c r="R210" i="74"/>
  <c r="H36" i="74" s="1"/>
  <c r="V126" i="74"/>
  <c r="V132" i="74" s="1"/>
  <c r="V133" i="74" s="1"/>
  <c r="V134" i="74" s="1"/>
  <c r="V135" i="74" s="1"/>
  <c r="AE206" i="74"/>
  <c r="R135" i="72"/>
  <c r="V131" i="72"/>
  <c r="R134" i="72"/>
  <c r="V130" i="72"/>
  <c r="R136" i="78"/>
  <c r="B145" i="78"/>
  <c r="B148" i="78"/>
  <c r="B149" i="78" s="1"/>
  <c r="M148" i="78"/>
  <c r="M149" i="78" s="1"/>
  <c r="M150" i="78" s="1"/>
  <c r="M151" i="78" s="1"/>
  <c r="M152" i="78" s="1"/>
  <c r="V139" i="78"/>
  <c r="M105" i="78"/>
  <c r="B101" i="78" s="1"/>
  <c r="B102" i="78" s="1"/>
  <c r="B103" i="78" s="1"/>
  <c r="B105" i="78" s="1"/>
  <c r="C33" i="78" s="1"/>
  <c r="B94" i="78"/>
  <c r="C32" i="78" s="1"/>
  <c r="V137" i="80"/>
  <c r="V138" i="80" s="1"/>
  <c r="V139" i="80" s="1"/>
  <c r="M35" i="71"/>
  <c r="K37" i="71" s="1"/>
  <c r="K38" i="71" s="1"/>
  <c r="B105" i="71"/>
  <c r="C33" i="71" s="1"/>
  <c r="R199" i="71"/>
  <c r="H35" i="71" s="1"/>
  <c r="B145" i="71"/>
  <c r="D145" i="71" s="1"/>
  <c r="AE195" i="71"/>
  <c r="R134" i="71"/>
  <c r="V130" i="71"/>
  <c r="V126" i="71"/>
  <c r="V132" i="71" s="1"/>
  <c r="R135" i="71"/>
  <c r="R137" i="71" s="1"/>
  <c r="R138" i="71" s="1"/>
  <c r="R139" i="71" s="1"/>
  <c r="V131" i="71"/>
  <c r="K39" i="69"/>
  <c r="X36" i="69" s="1"/>
  <c r="R188" i="69"/>
  <c r="H34" i="69" s="1"/>
  <c r="V127" i="69"/>
  <c r="R210" i="70"/>
  <c r="H36" i="70" s="1"/>
  <c r="AE206" i="70"/>
  <c r="T171" i="70"/>
  <c r="R173" i="70" s="1"/>
  <c r="R174" i="70" s="1"/>
  <c r="R175" i="70"/>
  <c r="T181" i="66"/>
  <c r="T181" i="65"/>
  <c r="C180" i="69"/>
  <c r="F180" i="69" s="1"/>
  <c r="G176" i="68"/>
  <c r="B178" i="68" s="1"/>
  <c r="C51" i="68"/>
  <c r="C78" i="71"/>
  <c r="C82" i="71" s="1"/>
  <c r="M161" i="78"/>
  <c r="M162" i="78" s="1"/>
  <c r="V199" i="70"/>
  <c r="AE206" i="69"/>
  <c r="C53" i="69"/>
  <c r="X137" i="78"/>
  <c r="X138" i="78" s="1"/>
  <c r="X139" i="78" s="1"/>
  <c r="V141" i="75"/>
  <c r="M158" i="81"/>
  <c r="C45" i="81"/>
  <c r="C46" i="81" s="1"/>
  <c r="C48" i="81" s="1"/>
  <c r="C49" i="81" s="1"/>
  <c r="C50" i="81" s="1"/>
  <c r="C55" i="81" s="1"/>
  <c r="C59" i="81" s="1"/>
  <c r="AE184" i="69"/>
  <c r="O67" i="71"/>
  <c r="C50" i="78"/>
  <c r="C55" i="78" s="1"/>
  <c r="C60" i="78" s="1"/>
  <c r="C64" i="78" s="1"/>
  <c r="R135" i="78"/>
  <c r="R137" i="78" s="1"/>
  <c r="R138" i="78" s="1"/>
  <c r="R139" i="78" s="1"/>
  <c r="M131" i="78" s="1"/>
  <c r="M35" i="74"/>
  <c r="K37" i="74" s="1"/>
  <c r="K38" i="74" s="1"/>
  <c r="K40" i="74" s="1"/>
  <c r="K128" i="72"/>
  <c r="R176" i="71"/>
  <c r="H33" i="71" s="1"/>
  <c r="AE172" i="71"/>
  <c r="K128" i="71"/>
  <c r="C50" i="71"/>
  <c r="C55" i="71" s="1"/>
  <c r="C60" i="71" s="1"/>
  <c r="C64" i="71" s="1"/>
  <c r="E110" i="78"/>
  <c r="B115" i="78" s="1"/>
  <c r="B116" i="78" s="1"/>
  <c r="C34" i="78" s="1"/>
  <c r="M158" i="78"/>
  <c r="D130" i="78"/>
  <c r="F130" i="78" s="1"/>
  <c r="M163" i="75"/>
  <c r="M164" i="75" s="1"/>
  <c r="M165" i="75" s="1"/>
  <c r="M150" i="75"/>
  <c r="M151" i="75" s="1"/>
  <c r="M152" i="75" s="1"/>
  <c r="R188" i="70"/>
  <c r="H34" i="70" s="1"/>
  <c r="M10" i="67"/>
  <c r="B160" i="74"/>
  <c r="B161" i="74" s="1"/>
  <c r="B162" i="74" s="1"/>
  <c r="R188" i="74"/>
  <c r="H34" i="74" s="1"/>
  <c r="B130" i="77"/>
  <c r="M157" i="77"/>
  <c r="M144" i="77"/>
  <c r="M159" i="77"/>
  <c r="M146" i="77"/>
  <c r="B136" i="72"/>
  <c r="B144" i="79"/>
  <c r="M157" i="79"/>
  <c r="M144" i="79"/>
  <c r="B157" i="79"/>
  <c r="M35" i="70"/>
  <c r="K37" i="70" s="1"/>
  <c r="K38" i="70" s="1"/>
  <c r="K40" i="70" s="1"/>
  <c r="B136" i="71"/>
  <c r="O135" i="71" s="1"/>
  <c r="B160" i="71"/>
  <c r="B161" i="71" s="1"/>
  <c r="B162" i="71" s="1"/>
  <c r="B158" i="71"/>
  <c r="D158" i="71" s="1"/>
  <c r="B161" i="78"/>
  <c r="B162" i="78" s="1"/>
  <c r="B135" i="81"/>
  <c r="B134" i="81"/>
  <c r="B130" i="81"/>
  <c r="B136" i="81" s="1"/>
  <c r="B90" i="81"/>
  <c r="B91" i="81" s="1"/>
  <c r="B92" i="81" s="1"/>
  <c r="B131" i="81"/>
  <c r="M109" i="81"/>
  <c r="M86" i="81"/>
  <c r="E88" i="81" s="1"/>
  <c r="B93" i="81" s="1"/>
  <c r="K40" i="81"/>
  <c r="X36" i="81"/>
  <c r="R199" i="81"/>
  <c r="H35" i="81" s="1"/>
  <c r="AE195" i="81"/>
  <c r="R176" i="81"/>
  <c r="H33" i="81" s="1"/>
  <c r="AE172" i="81"/>
  <c r="E88" i="80"/>
  <c r="B93" i="80" s="1"/>
  <c r="B94" i="80" s="1"/>
  <c r="C32" i="80" s="1"/>
  <c r="E110" i="80"/>
  <c r="B115" i="80" s="1"/>
  <c r="M116" i="80"/>
  <c r="B112" i="80" s="1"/>
  <c r="B113" i="80" s="1"/>
  <c r="B114" i="80" s="1"/>
  <c r="M105" i="80"/>
  <c r="B101" i="80" s="1"/>
  <c r="B102" i="80" s="1"/>
  <c r="B103" i="80" s="1"/>
  <c r="E99" i="80"/>
  <c r="B104" i="80" s="1"/>
  <c r="B105" i="80" s="1"/>
  <c r="X134" i="80"/>
  <c r="R134" i="80"/>
  <c r="M158" i="80"/>
  <c r="M161" i="80"/>
  <c r="M162" i="80" s="1"/>
  <c r="B158" i="80"/>
  <c r="B161" i="80"/>
  <c r="B162" i="80" s="1"/>
  <c r="C73" i="80"/>
  <c r="C78" i="80" s="1"/>
  <c r="C82" i="80" s="1"/>
  <c r="X135" i="80"/>
  <c r="X137" i="80" s="1"/>
  <c r="X138" i="80" s="1"/>
  <c r="X139" i="80" s="1"/>
  <c r="R135" i="80"/>
  <c r="R199" i="80"/>
  <c r="H35" i="80" s="1"/>
  <c r="AE195" i="80"/>
  <c r="AE172" i="80"/>
  <c r="R176" i="80"/>
  <c r="H33" i="80" s="1"/>
  <c r="C63" i="80"/>
  <c r="O67" i="80"/>
  <c r="O80" i="80"/>
  <c r="C81" i="80"/>
  <c r="E81" i="80" s="1"/>
  <c r="K128" i="80"/>
  <c r="R136" i="80"/>
  <c r="B145" i="80"/>
  <c r="B148" i="80"/>
  <c r="B149" i="80" s="1"/>
  <c r="M145" i="80"/>
  <c r="M148" i="80"/>
  <c r="M149" i="80" s="1"/>
  <c r="D130" i="80"/>
  <c r="F130" i="80" s="1"/>
  <c r="B136" i="80"/>
  <c r="C59" i="80"/>
  <c r="C50" i="80"/>
  <c r="C55" i="80" s="1"/>
  <c r="K40" i="80"/>
  <c r="X36" i="80"/>
  <c r="R131" i="79"/>
  <c r="X130" i="79"/>
  <c r="X136" i="79" s="1"/>
  <c r="R130" i="79"/>
  <c r="V130" i="79"/>
  <c r="V136" i="79" s="1"/>
  <c r="B130" i="79"/>
  <c r="V131" i="79"/>
  <c r="C45" i="79"/>
  <c r="C46" i="79" s="1"/>
  <c r="C48" i="79" s="1"/>
  <c r="C49" i="79" s="1"/>
  <c r="B159" i="79"/>
  <c r="C68" i="79"/>
  <c r="C69" i="79" s="1"/>
  <c r="C71" i="79" s="1"/>
  <c r="C72" i="79" s="1"/>
  <c r="C73" i="79" s="1"/>
  <c r="C78" i="79" s="1"/>
  <c r="C82" i="79" s="1"/>
  <c r="X131" i="79"/>
  <c r="M146" i="79"/>
  <c r="B146" i="79"/>
  <c r="M159" i="79"/>
  <c r="V134" i="79"/>
  <c r="B134" i="79"/>
  <c r="B135" i="79"/>
  <c r="M109" i="79"/>
  <c r="B90" i="79"/>
  <c r="B91" i="79" s="1"/>
  <c r="B92" i="79" s="1"/>
  <c r="M67" i="79"/>
  <c r="B131" i="79"/>
  <c r="M80" i="79"/>
  <c r="V135" i="79"/>
  <c r="M98" i="79"/>
  <c r="M86" i="79"/>
  <c r="R199" i="79"/>
  <c r="H35" i="79" s="1"/>
  <c r="AE195" i="79"/>
  <c r="AE172" i="79"/>
  <c r="R176" i="79"/>
  <c r="H33" i="79" s="1"/>
  <c r="K40" i="79"/>
  <c r="X36" i="79"/>
  <c r="B136" i="78"/>
  <c r="B137" i="78" s="1"/>
  <c r="B138" i="78" s="1"/>
  <c r="B139" i="78" s="1"/>
  <c r="M130" i="78" s="1"/>
  <c r="O80" i="78"/>
  <c r="C63" i="78"/>
  <c r="O67" i="78"/>
  <c r="B158" i="78"/>
  <c r="D158" i="78" s="1"/>
  <c r="R199" i="78"/>
  <c r="H35" i="78" s="1"/>
  <c r="AE195" i="78"/>
  <c r="D145" i="78"/>
  <c r="AE172" i="78"/>
  <c r="R176" i="78"/>
  <c r="H33" i="78" s="1"/>
  <c r="K40" i="78"/>
  <c r="X36" i="78"/>
  <c r="M145" i="74"/>
  <c r="M147" i="74"/>
  <c r="M148" i="74" s="1"/>
  <c r="M149" i="74" s="1"/>
  <c r="M158" i="74"/>
  <c r="M160" i="74"/>
  <c r="M161" i="74" s="1"/>
  <c r="M162" i="74" s="1"/>
  <c r="C45" i="77"/>
  <c r="C46" i="77" s="1"/>
  <c r="C48" i="77" s="1"/>
  <c r="C49" i="77" s="1"/>
  <c r="B157" i="77"/>
  <c r="B144" i="77"/>
  <c r="B147" i="77" s="1"/>
  <c r="M98" i="77"/>
  <c r="B159" i="77"/>
  <c r="B146" i="77"/>
  <c r="C68" i="77"/>
  <c r="C69" i="77" s="1"/>
  <c r="C71" i="77" s="1"/>
  <c r="C72" i="77" s="1"/>
  <c r="C73" i="77" s="1"/>
  <c r="C78" i="77" s="1"/>
  <c r="C82" i="77" s="1"/>
  <c r="B135" i="77"/>
  <c r="V131" i="77" s="1"/>
  <c r="B90" i="77"/>
  <c r="B91" i="77" s="1"/>
  <c r="B92" i="77" s="1"/>
  <c r="R130" i="77"/>
  <c r="R131" i="77"/>
  <c r="M109" i="77"/>
  <c r="M86" i="77"/>
  <c r="B134" i="77"/>
  <c r="V130" i="77" s="1"/>
  <c r="B131" i="77"/>
  <c r="M80" i="77"/>
  <c r="M67" i="77"/>
  <c r="R199" i="77"/>
  <c r="H35" i="77" s="1"/>
  <c r="AE195" i="77"/>
  <c r="AE172" i="77"/>
  <c r="R176" i="77"/>
  <c r="H33" i="77" s="1"/>
  <c r="K40" i="77"/>
  <c r="X36" i="77"/>
  <c r="R135" i="74"/>
  <c r="R134" i="74"/>
  <c r="M109" i="74"/>
  <c r="E110" i="74" s="1"/>
  <c r="B115" i="74" s="1"/>
  <c r="B116" i="74" s="1"/>
  <c r="C34" i="74" s="1"/>
  <c r="K137" i="75"/>
  <c r="K138" i="75" s="1"/>
  <c r="K139" i="75" s="1"/>
  <c r="R137" i="75"/>
  <c r="R138" i="75" s="1"/>
  <c r="R139" i="75" s="1"/>
  <c r="B137" i="75"/>
  <c r="B138" i="75" s="1"/>
  <c r="B139" i="75" s="1"/>
  <c r="C35" i="75" s="1"/>
  <c r="O135" i="75"/>
  <c r="B163" i="75"/>
  <c r="D158" i="75"/>
  <c r="C60" i="75"/>
  <c r="C64" i="75" s="1"/>
  <c r="K40" i="75"/>
  <c r="X36" i="75"/>
  <c r="B150" i="75"/>
  <c r="D145" i="75"/>
  <c r="R199" i="75"/>
  <c r="H35" i="75" s="1"/>
  <c r="AE195" i="75"/>
  <c r="AE172" i="75"/>
  <c r="R176" i="75"/>
  <c r="H33" i="75" s="1"/>
  <c r="K128" i="74"/>
  <c r="E88" i="74"/>
  <c r="B93" i="74" s="1"/>
  <c r="B94" i="74" s="1"/>
  <c r="C32" i="74" s="1"/>
  <c r="E99" i="74"/>
  <c r="B104" i="74" s="1"/>
  <c r="B105" i="74" s="1"/>
  <c r="C33" i="74" s="1"/>
  <c r="D130" i="74"/>
  <c r="F130" i="74" s="1"/>
  <c r="R136" i="74"/>
  <c r="C73" i="74"/>
  <c r="C78" i="74" s="1"/>
  <c r="C82" i="74" s="1"/>
  <c r="O67" i="74"/>
  <c r="C63" i="74"/>
  <c r="E63" i="74" s="1"/>
  <c r="C81" i="74"/>
  <c r="E81" i="74" s="1"/>
  <c r="O80" i="74"/>
  <c r="C59" i="74"/>
  <c r="C50" i="74"/>
  <c r="C55" i="74" s="1"/>
  <c r="R176" i="74"/>
  <c r="H33" i="74" s="1"/>
  <c r="AE172" i="74"/>
  <c r="B158" i="74"/>
  <c r="B145" i="74"/>
  <c r="B148" i="74"/>
  <c r="B149" i="74" s="1"/>
  <c r="B136" i="74"/>
  <c r="E88" i="72"/>
  <c r="B93" i="72" s="1"/>
  <c r="B94" i="72" s="1"/>
  <c r="C32" i="72" s="1"/>
  <c r="E99" i="72"/>
  <c r="B104" i="72" s="1"/>
  <c r="B105" i="72" s="1"/>
  <c r="C33" i="72" s="1"/>
  <c r="C59" i="72"/>
  <c r="C50" i="72"/>
  <c r="C55" i="72" s="1"/>
  <c r="B158" i="72"/>
  <c r="B160" i="72"/>
  <c r="B161" i="72" s="1"/>
  <c r="B162" i="72" s="1"/>
  <c r="B137" i="72"/>
  <c r="B138" i="72" s="1"/>
  <c r="B139" i="72" s="1"/>
  <c r="O135" i="72"/>
  <c r="R188" i="72"/>
  <c r="H34" i="72" s="1"/>
  <c r="AE184" i="72"/>
  <c r="B145" i="72"/>
  <c r="B148" i="72"/>
  <c r="B149" i="72" s="1"/>
  <c r="D130" i="72"/>
  <c r="F130" i="72" s="1"/>
  <c r="R136" i="72"/>
  <c r="O67" i="72"/>
  <c r="C63" i="72"/>
  <c r="C81" i="72"/>
  <c r="E81" i="72" s="1"/>
  <c r="O80" i="72"/>
  <c r="C73" i="72"/>
  <c r="C78" i="72" s="1"/>
  <c r="C82" i="72" s="1"/>
  <c r="M35" i="72"/>
  <c r="K37" i="72" s="1"/>
  <c r="K38" i="72" s="1"/>
  <c r="T171" i="72"/>
  <c r="R173" i="72" s="1"/>
  <c r="R174" i="72" s="1"/>
  <c r="V199" i="72"/>
  <c r="R198" i="72" s="1"/>
  <c r="T193" i="72"/>
  <c r="T194" i="72" s="1"/>
  <c r="R196" i="72" s="1"/>
  <c r="R197" i="72" s="1"/>
  <c r="R210" i="72"/>
  <c r="H36" i="72" s="1"/>
  <c r="AE206" i="72"/>
  <c r="AE184" i="71"/>
  <c r="E88" i="71"/>
  <c r="B93" i="71" s="1"/>
  <c r="B94" i="71" s="1"/>
  <c r="C32" i="71" s="1"/>
  <c r="E81" i="71"/>
  <c r="E63" i="71"/>
  <c r="F30" i="71"/>
  <c r="K40" i="71"/>
  <c r="X36" i="71"/>
  <c r="D130" i="71"/>
  <c r="F130" i="71" s="1"/>
  <c r="B150" i="71"/>
  <c r="O80" i="71"/>
  <c r="Q26" i="68"/>
  <c r="S26" i="68" s="1"/>
  <c r="M58" i="68"/>
  <c r="M60" i="68" s="1"/>
  <c r="C61" i="68" s="1"/>
  <c r="M9" i="67"/>
  <c r="B133" i="67"/>
  <c r="C54" i="68"/>
  <c r="AE184" i="70"/>
  <c r="E110" i="70"/>
  <c r="B115" i="70" s="1"/>
  <c r="B116" i="70" s="1"/>
  <c r="C34" i="70" s="1"/>
  <c r="E88" i="70"/>
  <c r="B93" i="70" s="1"/>
  <c r="B94" i="70" s="1"/>
  <c r="C32" i="70" s="1"/>
  <c r="E99" i="70"/>
  <c r="B104" i="70" s="1"/>
  <c r="B105" i="70" s="1"/>
  <c r="C33" i="70" s="1"/>
  <c r="C81" i="70"/>
  <c r="E81" i="70" s="1"/>
  <c r="O80" i="70"/>
  <c r="D130" i="70"/>
  <c r="F130" i="70" s="1"/>
  <c r="B136" i="70"/>
  <c r="B158" i="70"/>
  <c r="B161" i="70"/>
  <c r="B162" i="70" s="1"/>
  <c r="C50" i="70"/>
  <c r="C55" i="70" s="1"/>
  <c r="C59" i="70"/>
  <c r="O67" i="70"/>
  <c r="E63" i="70"/>
  <c r="F30" i="70"/>
  <c r="R176" i="70"/>
  <c r="H33" i="70" s="1"/>
  <c r="AE172" i="70"/>
  <c r="B145" i="70"/>
  <c r="B148" i="70"/>
  <c r="B149" i="70" s="1"/>
  <c r="C73" i="70"/>
  <c r="C78" i="70" s="1"/>
  <c r="C82" i="70" s="1"/>
  <c r="K128" i="70"/>
  <c r="R136" i="70"/>
  <c r="C45" i="69"/>
  <c r="C46" i="69" s="1"/>
  <c r="C48" i="69" s="1"/>
  <c r="C49" i="69" s="1"/>
  <c r="C68" i="69"/>
  <c r="C69" i="69" s="1"/>
  <c r="C71" i="69" s="1"/>
  <c r="C72" i="69" s="1"/>
  <c r="B146" i="69"/>
  <c r="B159" i="69"/>
  <c r="B101" i="69"/>
  <c r="T171" i="69"/>
  <c r="R173" i="69" s="1"/>
  <c r="R174" i="69" s="1"/>
  <c r="V199" i="69"/>
  <c r="R198" i="69" s="1"/>
  <c r="T193" i="69"/>
  <c r="T194" i="69" s="1"/>
  <c r="R196" i="69" s="1"/>
  <c r="R197" i="69" s="1"/>
  <c r="C76" i="69"/>
  <c r="B90" i="69"/>
  <c r="B91" i="69" s="1"/>
  <c r="B92" i="69" s="1"/>
  <c r="R131" i="69"/>
  <c r="K40" i="69"/>
  <c r="C79" i="69"/>
  <c r="M78" i="69"/>
  <c r="M79" i="69" s="1"/>
  <c r="C80" i="69" s="1"/>
  <c r="M86" i="69"/>
  <c r="B134" i="69"/>
  <c r="B128" i="69"/>
  <c r="M67" i="69"/>
  <c r="M65" i="69"/>
  <c r="M66" i="69" s="1"/>
  <c r="C62" i="69" s="1"/>
  <c r="C61" i="69"/>
  <c r="B135" i="69"/>
  <c r="M109" i="69"/>
  <c r="E110" i="69" s="1"/>
  <c r="B115" i="69" s="1"/>
  <c r="M98" i="69"/>
  <c r="E99" i="69" s="1"/>
  <c r="B104" i="69" s="1"/>
  <c r="R130" i="69"/>
  <c r="B144" i="69"/>
  <c r="B147" i="69" s="1"/>
  <c r="M80" i="69"/>
  <c r="B130" i="69"/>
  <c r="B157" i="69"/>
  <c r="B160" i="69" s="1"/>
  <c r="B169" i="69"/>
  <c r="C57" i="68"/>
  <c r="C58" i="68" s="1"/>
  <c r="B127" i="68"/>
  <c r="B87" i="68"/>
  <c r="B98" i="68"/>
  <c r="B109" i="68" s="1"/>
  <c r="C74" i="68"/>
  <c r="U27" i="68"/>
  <c r="U26" i="68" s="1"/>
  <c r="F19" i="68" s="1"/>
  <c r="C77" i="68"/>
  <c r="M71" i="68"/>
  <c r="M73" i="68" s="1"/>
  <c r="G172" i="68"/>
  <c r="B174" i="68" s="1"/>
  <c r="C75" i="68"/>
  <c r="C52" i="68"/>
  <c r="T191" i="68"/>
  <c r="T192" i="68" s="1"/>
  <c r="T202" i="68"/>
  <c r="T203" i="68" s="1"/>
  <c r="T204" i="68" s="1"/>
  <c r="R209" i="68" s="1"/>
  <c r="T179" i="68"/>
  <c r="R187" i="68" s="1"/>
  <c r="T168" i="68"/>
  <c r="M32" i="68"/>
  <c r="O89" i="67"/>
  <c r="O112" i="67"/>
  <c r="C22" i="67"/>
  <c r="M104" i="67" s="1"/>
  <c r="Q27" i="67"/>
  <c r="S27" i="67" s="1"/>
  <c r="F20" i="67" s="1"/>
  <c r="O100" i="67"/>
  <c r="R132" i="65"/>
  <c r="R133" i="65" s="1"/>
  <c r="M14" i="66"/>
  <c r="G177" i="65"/>
  <c r="M10" i="65"/>
  <c r="M14" i="65"/>
  <c r="M10" i="66"/>
  <c r="O111" i="67"/>
  <c r="B87" i="67"/>
  <c r="B127" i="67"/>
  <c r="B98" i="67"/>
  <c r="B109" i="67" s="1"/>
  <c r="O92" i="67"/>
  <c r="B143" i="67"/>
  <c r="M11" i="67"/>
  <c r="M12" i="67"/>
  <c r="M13" i="67"/>
  <c r="N14" i="67"/>
  <c r="C21" i="67"/>
  <c r="M115" i="67" s="1"/>
  <c r="L22" i="67"/>
  <c r="C26" i="67"/>
  <c r="O99" i="67"/>
  <c r="O110" i="67"/>
  <c r="O114" i="67"/>
  <c r="B156" i="67"/>
  <c r="C25" i="67"/>
  <c r="C47" i="67"/>
  <c r="C70" i="67"/>
  <c r="M72" i="67"/>
  <c r="O88" i="67"/>
  <c r="O91" i="67"/>
  <c r="T181" i="67"/>
  <c r="C27" i="67"/>
  <c r="O87" i="67"/>
  <c r="C26" i="66"/>
  <c r="C21" i="66"/>
  <c r="C22" i="66"/>
  <c r="O89" i="66"/>
  <c r="O111" i="66"/>
  <c r="O100" i="66"/>
  <c r="O90" i="66"/>
  <c r="P22" i="66"/>
  <c r="N9" i="66"/>
  <c r="N11" i="66"/>
  <c r="N12" i="66"/>
  <c r="N13" i="66"/>
  <c r="G177" i="66"/>
  <c r="C25" i="66"/>
  <c r="C27" i="66"/>
  <c r="C47" i="66"/>
  <c r="C70" i="66"/>
  <c r="B86" i="66"/>
  <c r="O87" i="66"/>
  <c r="O88" i="66"/>
  <c r="O91" i="66"/>
  <c r="B143" i="66"/>
  <c r="B156" i="66"/>
  <c r="L22" i="66"/>
  <c r="O99" i="66"/>
  <c r="O101" i="66"/>
  <c r="O110" i="66"/>
  <c r="M59" i="65"/>
  <c r="C21" i="65"/>
  <c r="M58" i="65" s="1"/>
  <c r="O88" i="65"/>
  <c r="O90" i="65"/>
  <c r="O100" i="65"/>
  <c r="O111" i="65"/>
  <c r="C22" i="65"/>
  <c r="O87" i="65"/>
  <c r="O89" i="65"/>
  <c r="O99" i="65"/>
  <c r="O110" i="65"/>
  <c r="P22" i="65"/>
  <c r="B156" i="65"/>
  <c r="N9" i="65"/>
  <c r="N11" i="65"/>
  <c r="N12" i="65"/>
  <c r="N13" i="65"/>
  <c r="C25" i="65"/>
  <c r="C27" i="65"/>
  <c r="C47" i="65"/>
  <c r="O112" i="65"/>
  <c r="C26" i="65"/>
  <c r="C70" i="65"/>
  <c r="B86" i="65"/>
  <c r="B143" i="65"/>
  <c r="R206" i="64"/>
  <c r="R195" i="64"/>
  <c r="R184" i="64"/>
  <c r="B176" i="64"/>
  <c r="R172" i="64"/>
  <c r="B172" i="64"/>
  <c r="B132" i="64"/>
  <c r="B111" i="64"/>
  <c r="B100" i="64"/>
  <c r="O101" i="64" s="1"/>
  <c r="B89" i="64"/>
  <c r="O91" i="64" s="1"/>
  <c r="K36" i="64"/>
  <c r="M29" i="64"/>
  <c r="L27" i="64"/>
  <c r="M72" i="64"/>
  <c r="C63" i="64"/>
  <c r="C19" i="64"/>
  <c r="N17" i="64"/>
  <c r="M17" i="64"/>
  <c r="N16" i="64"/>
  <c r="M20" i="64" s="1"/>
  <c r="M16" i="64"/>
  <c r="C17" i="64"/>
  <c r="N15" i="64"/>
  <c r="M15" i="64"/>
  <c r="L14" i="64"/>
  <c r="N14" i="64" s="1"/>
  <c r="L13" i="64"/>
  <c r="N13" i="64" s="1"/>
  <c r="C14" i="64"/>
  <c r="L12" i="64"/>
  <c r="N12" i="64" s="1"/>
  <c r="M19" i="64" s="1"/>
  <c r="C13" i="64"/>
  <c r="L11" i="64"/>
  <c r="N11" i="64" s="1"/>
  <c r="L10" i="64"/>
  <c r="N10" i="64" s="1"/>
  <c r="L9" i="64"/>
  <c r="N9" i="64" s="1"/>
  <c r="V133" i="72" l="1"/>
  <c r="V134" i="72" s="1"/>
  <c r="V135" i="72" s="1"/>
  <c r="B150" i="78"/>
  <c r="V133" i="70"/>
  <c r="V134" i="70" s="1"/>
  <c r="V135" i="70" s="1"/>
  <c r="G173" i="64"/>
  <c r="G177" i="64"/>
  <c r="B133" i="64"/>
  <c r="V128" i="64"/>
  <c r="V129" i="64" s="1"/>
  <c r="M10" i="64"/>
  <c r="M159" i="81"/>
  <c r="S160" i="81"/>
  <c r="S161" i="81" s="1"/>
  <c r="S162" i="81" s="1"/>
  <c r="S158" i="81"/>
  <c r="X36" i="74"/>
  <c r="AE195" i="74"/>
  <c r="C35" i="78"/>
  <c r="M163" i="78"/>
  <c r="M164" i="78" s="1"/>
  <c r="M165" i="78" s="1"/>
  <c r="V126" i="77"/>
  <c r="V132" i="77" s="1"/>
  <c r="V133" i="77" s="1"/>
  <c r="V134" i="77" s="1"/>
  <c r="V135" i="77" s="1"/>
  <c r="V133" i="71"/>
  <c r="V134" i="71" s="1"/>
  <c r="V135" i="71" s="1"/>
  <c r="R135" i="69"/>
  <c r="V131" i="69"/>
  <c r="B136" i="69"/>
  <c r="B137" i="69" s="1"/>
  <c r="B138" i="69" s="1"/>
  <c r="B139" i="69" s="1"/>
  <c r="V126" i="69"/>
  <c r="V132" i="69" s="1"/>
  <c r="R134" i="69"/>
  <c r="V130" i="69"/>
  <c r="X36" i="70"/>
  <c r="R198" i="70"/>
  <c r="R199" i="70" s="1"/>
  <c r="H35" i="70" s="1"/>
  <c r="M163" i="74"/>
  <c r="M164" i="74" s="1"/>
  <c r="M165" i="74" s="1"/>
  <c r="C53" i="68"/>
  <c r="M65" i="68"/>
  <c r="M66" i="68" s="1"/>
  <c r="C62" i="68" s="1"/>
  <c r="B137" i="71"/>
  <c r="B138" i="71" s="1"/>
  <c r="B139" i="71" s="1"/>
  <c r="G139" i="71" s="1"/>
  <c r="C35" i="71" s="1"/>
  <c r="K137" i="71"/>
  <c r="K138" i="71" s="1"/>
  <c r="K139" i="71" s="1"/>
  <c r="K137" i="78"/>
  <c r="K138" i="78" s="1"/>
  <c r="K139" i="78" s="1"/>
  <c r="B163" i="78"/>
  <c r="B164" i="78" s="1"/>
  <c r="B165" i="78" s="1"/>
  <c r="D130" i="81"/>
  <c r="F130" i="81" s="1"/>
  <c r="O135" i="78"/>
  <c r="B163" i="71"/>
  <c r="O161" i="71" s="1"/>
  <c r="B160" i="77"/>
  <c r="B161" i="77" s="1"/>
  <c r="B162" i="77" s="1"/>
  <c r="M147" i="77"/>
  <c r="M148" i="77" s="1"/>
  <c r="M149" i="77" s="1"/>
  <c r="M145" i="77"/>
  <c r="R132" i="64"/>
  <c r="R133" i="64" s="1"/>
  <c r="M60" i="65"/>
  <c r="M65" i="65" s="1"/>
  <c r="M66" i="65" s="1"/>
  <c r="C62" i="65" s="1"/>
  <c r="M158" i="77"/>
  <c r="M160" i="77"/>
  <c r="M161" i="77" s="1"/>
  <c r="M162" i="77" s="1"/>
  <c r="B162" i="81"/>
  <c r="B158" i="81"/>
  <c r="D158" i="81" s="1"/>
  <c r="B94" i="81"/>
  <c r="C32" i="81" s="1"/>
  <c r="E110" i="81"/>
  <c r="B115" i="81" s="1"/>
  <c r="M116" i="81"/>
  <c r="B137" i="81"/>
  <c r="B138" i="81" s="1"/>
  <c r="B139" i="81" s="1"/>
  <c r="C35" i="81" s="1"/>
  <c r="O135" i="81"/>
  <c r="B150" i="80"/>
  <c r="D145" i="80"/>
  <c r="K137" i="80"/>
  <c r="K138" i="80" s="1"/>
  <c r="K139" i="80" s="1"/>
  <c r="R137" i="80"/>
  <c r="R138" i="80" s="1"/>
  <c r="R139" i="80" s="1"/>
  <c r="M131" i="80" s="1"/>
  <c r="F30" i="80"/>
  <c r="E63" i="80"/>
  <c r="C33" i="80"/>
  <c r="B116" i="80"/>
  <c r="C34" i="80" s="1"/>
  <c r="C60" i="80"/>
  <c r="C64" i="80" s="1"/>
  <c r="M150" i="80"/>
  <c r="M151" i="80" s="1"/>
  <c r="M152" i="80" s="1"/>
  <c r="M163" i="80"/>
  <c r="M164" i="80" s="1"/>
  <c r="M165" i="80" s="1"/>
  <c r="B137" i="80"/>
  <c r="B138" i="80" s="1"/>
  <c r="B139" i="80" s="1"/>
  <c r="O135" i="80"/>
  <c r="B163" i="80"/>
  <c r="D158" i="80"/>
  <c r="B147" i="79"/>
  <c r="B148" i="79" s="1"/>
  <c r="B149" i="79" s="1"/>
  <c r="B145" i="79"/>
  <c r="M147" i="79"/>
  <c r="M148" i="79" s="1"/>
  <c r="M149" i="79" s="1"/>
  <c r="M145" i="79"/>
  <c r="R135" i="79"/>
  <c r="X135" i="79"/>
  <c r="X137" i="79" s="1"/>
  <c r="X138" i="79" s="1"/>
  <c r="X139" i="79" s="1"/>
  <c r="K128" i="79"/>
  <c r="R136" i="79"/>
  <c r="E88" i="79"/>
  <c r="B93" i="79" s="1"/>
  <c r="B94" i="79" s="1"/>
  <c r="C32" i="79" s="1"/>
  <c r="E99" i="79"/>
  <c r="B104" i="79" s="1"/>
  <c r="M105" i="79"/>
  <c r="B101" i="79" s="1"/>
  <c r="B102" i="79" s="1"/>
  <c r="B103" i="79" s="1"/>
  <c r="C81" i="79"/>
  <c r="E81" i="79" s="1"/>
  <c r="O80" i="79"/>
  <c r="C63" i="79"/>
  <c r="O67" i="79"/>
  <c r="M160" i="79"/>
  <c r="M161" i="79" s="1"/>
  <c r="M162" i="79" s="1"/>
  <c r="M158" i="79"/>
  <c r="E110" i="79"/>
  <c r="B115" i="79" s="1"/>
  <c r="M116" i="79"/>
  <c r="B112" i="79" s="1"/>
  <c r="B113" i="79" s="1"/>
  <c r="B114" i="79" s="1"/>
  <c r="X134" i="79"/>
  <c r="R134" i="79"/>
  <c r="C59" i="79"/>
  <c r="C50" i="79"/>
  <c r="C55" i="79" s="1"/>
  <c r="D130" i="79"/>
  <c r="F130" i="79" s="1"/>
  <c r="B136" i="79"/>
  <c r="B160" i="79"/>
  <c r="B161" i="79" s="1"/>
  <c r="B162" i="79" s="1"/>
  <c r="B158" i="79"/>
  <c r="V137" i="79"/>
  <c r="V138" i="79" s="1"/>
  <c r="V139" i="79" s="1"/>
  <c r="F30" i="78"/>
  <c r="E63" i="78"/>
  <c r="B151" i="78"/>
  <c r="B152" i="78" s="1"/>
  <c r="O143" i="78"/>
  <c r="M150" i="74"/>
  <c r="M151" i="74" s="1"/>
  <c r="M152" i="74" s="1"/>
  <c r="R134" i="77"/>
  <c r="R135" i="77"/>
  <c r="M116" i="77"/>
  <c r="B112" i="77" s="1"/>
  <c r="B113" i="77" s="1"/>
  <c r="B114" i="77" s="1"/>
  <c r="E110" i="77"/>
  <c r="B115" i="77" s="1"/>
  <c r="E99" i="77"/>
  <c r="B104" i="77" s="1"/>
  <c r="M105" i="77"/>
  <c r="B101" i="77" s="1"/>
  <c r="B102" i="77" s="1"/>
  <c r="B103" i="77" s="1"/>
  <c r="E88" i="77"/>
  <c r="B93" i="77" s="1"/>
  <c r="B94" i="77" s="1"/>
  <c r="C32" i="77" s="1"/>
  <c r="O80" i="77"/>
  <c r="C81" i="77"/>
  <c r="E81" i="77" s="1"/>
  <c r="D130" i="77"/>
  <c r="F130" i="77" s="1"/>
  <c r="B136" i="77"/>
  <c r="B148" i="77"/>
  <c r="B149" i="77" s="1"/>
  <c r="B145" i="77"/>
  <c r="C63" i="77"/>
  <c r="O67" i="77"/>
  <c r="B158" i="77"/>
  <c r="C59" i="77"/>
  <c r="C50" i="77"/>
  <c r="C55" i="77" s="1"/>
  <c r="R136" i="77"/>
  <c r="K128" i="77"/>
  <c r="V141" i="74"/>
  <c r="O156" i="75"/>
  <c r="B164" i="75"/>
  <c r="B165" i="75" s="1"/>
  <c r="C37" i="75" s="1"/>
  <c r="O143" i="75"/>
  <c r="B151" i="75"/>
  <c r="B152" i="75" s="1"/>
  <c r="C36" i="75" s="1"/>
  <c r="F30" i="74"/>
  <c r="B137" i="74"/>
  <c r="B138" i="74" s="1"/>
  <c r="B139" i="74" s="1"/>
  <c r="M130" i="74" s="1"/>
  <c r="O135" i="74"/>
  <c r="B163" i="74"/>
  <c r="D158" i="74"/>
  <c r="R137" i="74"/>
  <c r="R138" i="74" s="1"/>
  <c r="R139" i="74" s="1"/>
  <c r="M131" i="74" s="1"/>
  <c r="K137" i="74"/>
  <c r="K138" i="74" s="1"/>
  <c r="K139" i="74" s="1"/>
  <c r="C60" i="74"/>
  <c r="C64" i="74" s="1"/>
  <c r="B150" i="74"/>
  <c r="D145" i="74"/>
  <c r="X36" i="72"/>
  <c r="K40" i="72"/>
  <c r="B163" i="72"/>
  <c r="D158" i="72"/>
  <c r="R137" i="72"/>
  <c r="R138" i="72" s="1"/>
  <c r="R139" i="72" s="1"/>
  <c r="G139" i="72" s="1"/>
  <c r="C35" i="72" s="1"/>
  <c r="K137" i="72"/>
  <c r="K138" i="72" s="1"/>
  <c r="K139" i="72" s="1"/>
  <c r="B150" i="72"/>
  <c r="D145" i="72"/>
  <c r="R176" i="72"/>
  <c r="H33" i="72" s="1"/>
  <c r="AE172" i="72"/>
  <c r="F30" i="72"/>
  <c r="E63" i="72"/>
  <c r="R199" i="72"/>
  <c r="H35" i="72" s="1"/>
  <c r="AE195" i="72"/>
  <c r="C60" i="72"/>
  <c r="C64" i="72" s="1"/>
  <c r="O148" i="71"/>
  <c r="B151" i="71"/>
  <c r="B152" i="71" s="1"/>
  <c r="C36" i="71" s="1"/>
  <c r="R137" i="70"/>
  <c r="R138" i="70" s="1"/>
  <c r="R139" i="70" s="1"/>
  <c r="K137" i="70"/>
  <c r="K138" i="70" s="1"/>
  <c r="K139" i="70" s="1"/>
  <c r="B137" i="70"/>
  <c r="B138" i="70" s="1"/>
  <c r="B139" i="70" s="1"/>
  <c r="O135" i="70"/>
  <c r="C60" i="70"/>
  <c r="C64" i="70" s="1"/>
  <c r="B150" i="70"/>
  <c r="D145" i="70"/>
  <c r="B163" i="70"/>
  <c r="D158" i="70"/>
  <c r="K128" i="69"/>
  <c r="E88" i="69"/>
  <c r="B93" i="69" s="1"/>
  <c r="B94" i="69" s="1"/>
  <c r="C32" i="69" s="1"/>
  <c r="AE195" i="69"/>
  <c r="R199" i="69"/>
  <c r="H35" i="69" s="1"/>
  <c r="R176" i="69"/>
  <c r="H33" i="69" s="1"/>
  <c r="AE172" i="69"/>
  <c r="O135" i="69"/>
  <c r="C81" i="69"/>
  <c r="E81" i="69" s="1"/>
  <c r="O80" i="69"/>
  <c r="B102" i="69"/>
  <c r="B103" i="69" s="1"/>
  <c r="B158" i="69"/>
  <c r="B145" i="69"/>
  <c r="B113" i="69"/>
  <c r="B114" i="69" s="1"/>
  <c r="B161" i="69"/>
  <c r="B162" i="69" s="1"/>
  <c r="D130" i="69"/>
  <c r="F130" i="69" s="1"/>
  <c r="C73" i="69"/>
  <c r="C78" i="69" s="1"/>
  <c r="C82" i="69" s="1"/>
  <c r="C63" i="69"/>
  <c r="E63" i="69" s="1"/>
  <c r="O67" i="69"/>
  <c r="R136" i="69"/>
  <c r="B148" i="69"/>
  <c r="B149" i="69" s="1"/>
  <c r="C50" i="69"/>
  <c r="C55" i="69" s="1"/>
  <c r="C59" i="69"/>
  <c r="C40" i="68"/>
  <c r="C41" i="68" s="1"/>
  <c r="C42" i="68" s="1"/>
  <c r="V127" i="68" s="1"/>
  <c r="C180" i="68"/>
  <c r="F180" i="68" s="1"/>
  <c r="B169" i="68"/>
  <c r="T205" i="68"/>
  <c r="R207" i="68" s="1"/>
  <c r="R208" i="68" s="1"/>
  <c r="M33" i="68"/>
  <c r="M34" i="68"/>
  <c r="K39" i="68" s="1"/>
  <c r="T169" i="68"/>
  <c r="T182" i="68"/>
  <c r="T183" i="68" s="1"/>
  <c r="R185" i="68" s="1"/>
  <c r="R186" i="68" s="1"/>
  <c r="T170" i="68"/>
  <c r="R175" i="68" s="1"/>
  <c r="B128" i="68"/>
  <c r="T180" i="68"/>
  <c r="C79" i="68"/>
  <c r="M78" i="68"/>
  <c r="M79" i="68" s="1"/>
  <c r="C80" i="68" s="1"/>
  <c r="C76" i="68"/>
  <c r="U27" i="67"/>
  <c r="U26" i="67" s="1"/>
  <c r="F19" i="67" s="1"/>
  <c r="Q26" i="67"/>
  <c r="S26" i="67" s="1"/>
  <c r="M14" i="64"/>
  <c r="P22" i="64"/>
  <c r="B128" i="67"/>
  <c r="T202" i="67"/>
  <c r="T203" i="67" s="1"/>
  <c r="T204" i="67" s="1"/>
  <c r="R209" i="67" s="1"/>
  <c r="T179" i="67"/>
  <c r="R187" i="67" s="1"/>
  <c r="M32" i="67"/>
  <c r="T191" i="67"/>
  <c r="T192" i="67" s="1"/>
  <c r="T168" i="67"/>
  <c r="G172" i="67"/>
  <c r="B174" i="67" s="1"/>
  <c r="C77" i="67"/>
  <c r="M71" i="67"/>
  <c r="M73" i="67" s="1"/>
  <c r="C74" i="67"/>
  <c r="C75" i="67"/>
  <c r="G176" i="67"/>
  <c r="B178" i="67" s="1"/>
  <c r="C51" i="67"/>
  <c r="M58" i="67"/>
  <c r="M60" i="67" s="1"/>
  <c r="C57" i="67"/>
  <c r="C58" i="67" s="1"/>
  <c r="C52" i="67"/>
  <c r="C54" i="67"/>
  <c r="B146" i="66"/>
  <c r="T202" i="66"/>
  <c r="T203" i="66" s="1"/>
  <c r="T204" i="66" s="1"/>
  <c r="R209" i="66" s="1"/>
  <c r="T179" i="66"/>
  <c r="R187" i="66" s="1"/>
  <c r="T191" i="66"/>
  <c r="T192" i="66" s="1"/>
  <c r="T168" i="66"/>
  <c r="M32" i="66"/>
  <c r="G172" i="66"/>
  <c r="B174" i="66" s="1"/>
  <c r="B169" i="66"/>
  <c r="C74" i="66"/>
  <c r="C77" i="66"/>
  <c r="C75" i="66"/>
  <c r="M71" i="66"/>
  <c r="M73" i="66" s="1"/>
  <c r="G176" i="66"/>
  <c r="B178" i="66" s="1"/>
  <c r="M58" i="66"/>
  <c r="M60" i="66" s="1"/>
  <c r="C57" i="66"/>
  <c r="C58" i="66" s="1"/>
  <c r="C54" i="66"/>
  <c r="C52" i="66"/>
  <c r="C51" i="66"/>
  <c r="B127" i="66"/>
  <c r="B98" i="66"/>
  <c r="B109" i="66" s="1"/>
  <c r="B87" i="66"/>
  <c r="C57" i="65"/>
  <c r="C58" i="65" s="1"/>
  <c r="C40" i="65"/>
  <c r="C41" i="65" s="1"/>
  <c r="C42" i="65" s="1"/>
  <c r="B127" i="65"/>
  <c r="B98" i="65"/>
  <c r="B109" i="65" s="1"/>
  <c r="B112" i="65" s="1"/>
  <c r="B113" i="65" s="1"/>
  <c r="B114" i="65" s="1"/>
  <c r="B87" i="65"/>
  <c r="G176" i="65"/>
  <c r="B178" i="65" s="1"/>
  <c r="C54" i="65"/>
  <c r="C52" i="65"/>
  <c r="C51" i="65"/>
  <c r="T202" i="65"/>
  <c r="T203" i="65" s="1"/>
  <c r="T204" i="65" s="1"/>
  <c r="R209" i="65" s="1"/>
  <c r="T179" i="65"/>
  <c r="R187" i="65" s="1"/>
  <c r="T168" i="65"/>
  <c r="T191" i="65"/>
  <c r="T192" i="65" s="1"/>
  <c r="M32" i="65"/>
  <c r="C77" i="65"/>
  <c r="C75" i="65"/>
  <c r="M71" i="65"/>
  <c r="M73" i="65" s="1"/>
  <c r="G172" i="65"/>
  <c r="B174" i="65" s="1"/>
  <c r="B169" i="65"/>
  <c r="C74" i="65"/>
  <c r="T181" i="64"/>
  <c r="O110" i="64"/>
  <c r="O99" i="64"/>
  <c r="O88" i="64"/>
  <c r="O100" i="64"/>
  <c r="O89" i="64"/>
  <c r="O87" i="64"/>
  <c r="B86" i="64"/>
  <c r="B98" i="64" s="1"/>
  <c r="B109" i="64" s="1"/>
  <c r="C70" i="64"/>
  <c r="C21" i="64"/>
  <c r="C22" i="64"/>
  <c r="M9" i="64"/>
  <c r="M11" i="64"/>
  <c r="M12" i="64"/>
  <c r="M13" i="64"/>
  <c r="L22" i="64"/>
  <c r="C26" i="64"/>
  <c r="C61" i="64"/>
  <c r="O112" i="64"/>
  <c r="B143" i="64"/>
  <c r="B156" i="64"/>
  <c r="B173" i="64"/>
  <c r="C25" i="64"/>
  <c r="C27" i="64"/>
  <c r="C47" i="64"/>
  <c r="B89" i="63"/>
  <c r="O91" i="63" s="1"/>
  <c r="B132" i="63"/>
  <c r="F31" i="63"/>
  <c r="F30" i="63"/>
  <c r="M77" i="63"/>
  <c r="R206" i="63"/>
  <c r="R195" i="63"/>
  <c r="R184" i="63"/>
  <c r="B176" i="63"/>
  <c r="R172" i="63"/>
  <c r="B172" i="63"/>
  <c r="B111" i="63"/>
  <c r="O112" i="63" s="1"/>
  <c r="B100" i="63"/>
  <c r="K36" i="63"/>
  <c r="M29" i="63"/>
  <c r="L27" i="63"/>
  <c r="C14" i="63"/>
  <c r="B86" i="63" s="1"/>
  <c r="M72" i="63"/>
  <c r="C19" i="63"/>
  <c r="N17" i="63"/>
  <c r="M17" i="63"/>
  <c r="N16" i="63"/>
  <c r="M16" i="63"/>
  <c r="C17" i="63"/>
  <c r="N15" i="63"/>
  <c r="M15" i="63"/>
  <c r="L14" i="63"/>
  <c r="N14" i="63" s="1"/>
  <c r="L13" i="63"/>
  <c r="N13" i="63" s="1"/>
  <c r="L12" i="63"/>
  <c r="N12" i="63" s="1"/>
  <c r="C13" i="63"/>
  <c r="L11" i="63"/>
  <c r="N11" i="63" s="1"/>
  <c r="L10" i="63"/>
  <c r="N10" i="63" s="1"/>
  <c r="L9" i="63"/>
  <c r="N9" i="63" s="1"/>
  <c r="M77" i="62"/>
  <c r="R206" i="62"/>
  <c r="R195" i="62"/>
  <c r="R184" i="62"/>
  <c r="B176" i="62"/>
  <c r="R172" i="62"/>
  <c r="B172" i="62"/>
  <c r="B173" i="62" s="1"/>
  <c r="B132" i="62"/>
  <c r="B111" i="62"/>
  <c r="O112" i="62" s="1"/>
  <c r="B100" i="62"/>
  <c r="B89" i="62"/>
  <c r="O91" i="62" s="1"/>
  <c r="K36" i="62"/>
  <c r="M29" i="62"/>
  <c r="L27" i="62"/>
  <c r="C14" i="62"/>
  <c r="P22" i="62"/>
  <c r="C19" i="62"/>
  <c r="N17" i="62"/>
  <c r="G173" i="62" s="1"/>
  <c r="M17" i="62"/>
  <c r="N16" i="62"/>
  <c r="M16" i="62"/>
  <c r="C17" i="62"/>
  <c r="T181" i="62" s="1"/>
  <c r="N15" i="62"/>
  <c r="M15" i="62"/>
  <c r="L14" i="62"/>
  <c r="N14" i="62" s="1"/>
  <c r="L13" i="62"/>
  <c r="M13" i="62" s="1"/>
  <c r="L12" i="62"/>
  <c r="N12" i="62" s="1"/>
  <c r="C13" i="62"/>
  <c r="L11" i="62"/>
  <c r="N11" i="62" s="1"/>
  <c r="L10" i="62"/>
  <c r="N10" i="62" s="1"/>
  <c r="L9" i="62"/>
  <c r="N9" i="62" s="1"/>
  <c r="R206" i="61"/>
  <c r="R195" i="61"/>
  <c r="R184" i="61"/>
  <c r="B176" i="61"/>
  <c r="R172" i="61"/>
  <c r="B172" i="61"/>
  <c r="B173" i="61" s="1"/>
  <c r="B132" i="61"/>
  <c r="B111" i="61"/>
  <c r="O112" i="61" s="1"/>
  <c r="B100" i="61"/>
  <c r="B89" i="61"/>
  <c r="O91" i="61" s="1"/>
  <c r="K36" i="61"/>
  <c r="M29" i="61"/>
  <c r="L27" i="61"/>
  <c r="C14" i="61"/>
  <c r="C70" i="61" s="1"/>
  <c r="P22" i="61"/>
  <c r="C19" i="61"/>
  <c r="N17" i="61"/>
  <c r="M17" i="61"/>
  <c r="N16" i="61"/>
  <c r="M16" i="61"/>
  <c r="C17" i="61"/>
  <c r="N15" i="61"/>
  <c r="M19" i="61" s="1"/>
  <c r="M15" i="61"/>
  <c r="L14" i="61"/>
  <c r="N14" i="61" s="1"/>
  <c r="M20" i="61" s="1"/>
  <c r="L13" i="61"/>
  <c r="M13" i="61" s="1"/>
  <c r="L12" i="61"/>
  <c r="M12" i="61" s="1"/>
  <c r="C13" i="61"/>
  <c r="L11" i="61"/>
  <c r="M11" i="61" s="1"/>
  <c r="L10" i="61"/>
  <c r="N10" i="61" s="1"/>
  <c r="L9" i="61"/>
  <c r="M9" i="61" s="1"/>
  <c r="C19" i="59"/>
  <c r="R206" i="60"/>
  <c r="R195" i="60"/>
  <c r="R184" i="60"/>
  <c r="B176" i="60"/>
  <c r="R172" i="60"/>
  <c r="B172" i="60"/>
  <c r="B132" i="60"/>
  <c r="B133" i="60" s="1"/>
  <c r="B111" i="60"/>
  <c r="O112" i="60" s="1"/>
  <c r="B100" i="60"/>
  <c r="B89" i="60"/>
  <c r="O91" i="60" s="1"/>
  <c r="K36" i="60"/>
  <c r="M29" i="60"/>
  <c r="L27" i="60"/>
  <c r="C19" i="60"/>
  <c r="N17" i="60"/>
  <c r="M17" i="60"/>
  <c r="N16" i="60"/>
  <c r="M16" i="60"/>
  <c r="C17" i="60"/>
  <c r="O87" i="60" s="1"/>
  <c r="N15" i="60"/>
  <c r="M15" i="60"/>
  <c r="L14" i="60"/>
  <c r="N14" i="60" s="1"/>
  <c r="L13" i="60"/>
  <c r="M13" i="60" s="1"/>
  <c r="C14" i="60"/>
  <c r="L12" i="60"/>
  <c r="M12" i="60" s="1"/>
  <c r="C13" i="60"/>
  <c r="L11" i="60"/>
  <c r="M11" i="60" s="1"/>
  <c r="L10" i="60"/>
  <c r="N10" i="60" s="1"/>
  <c r="L9" i="60"/>
  <c r="M9" i="60" s="1"/>
  <c r="R206" i="59"/>
  <c r="R195" i="59"/>
  <c r="R184" i="59"/>
  <c r="B176" i="59"/>
  <c r="R172" i="59"/>
  <c r="B172" i="59"/>
  <c r="B132" i="59"/>
  <c r="B133" i="59" s="1"/>
  <c r="B111" i="59"/>
  <c r="O112" i="59" s="1"/>
  <c r="B100" i="59"/>
  <c r="O101" i="59" s="1"/>
  <c r="B89" i="59"/>
  <c r="O91" i="59" s="1"/>
  <c r="M77" i="59"/>
  <c r="M64" i="59"/>
  <c r="K36" i="59"/>
  <c r="M29" i="59"/>
  <c r="L27" i="59"/>
  <c r="C14" i="59"/>
  <c r="M72" i="59"/>
  <c r="L22" i="59"/>
  <c r="N17" i="59"/>
  <c r="M17" i="59"/>
  <c r="N16" i="59"/>
  <c r="M16" i="59"/>
  <c r="C17" i="59"/>
  <c r="N15" i="59"/>
  <c r="M15" i="59"/>
  <c r="L14" i="59"/>
  <c r="N14" i="59" s="1"/>
  <c r="L13" i="59"/>
  <c r="M13" i="59" s="1"/>
  <c r="L12" i="59"/>
  <c r="M12" i="59" s="1"/>
  <c r="C13" i="59"/>
  <c r="L11" i="59"/>
  <c r="M11" i="59" s="1"/>
  <c r="L10" i="59"/>
  <c r="N10" i="59" s="1"/>
  <c r="L9" i="59"/>
  <c r="M9" i="59" s="1"/>
  <c r="C19" i="58"/>
  <c r="R206" i="58"/>
  <c r="R195" i="58"/>
  <c r="R184" i="58"/>
  <c r="B176" i="58"/>
  <c r="R172" i="58"/>
  <c r="B172" i="58"/>
  <c r="B173" i="58" s="1"/>
  <c r="B132" i="58"/>
  <c r="B133" i="58" s="1"/>
  <c r="B111" i="58"/>
  <c r="O112" i="58" s="1"/>
  <c r="B100" i="58"/>
  <c r="B89" i="58"/>
  <c r="O91" i="58" s="1"/>
  <c r="K36" i="58"/>
  <c r="M29" i="58"/>
  <c r="L27" i="58"/>
  <c r="C14" i="58"/>
  <c r="P22" i="58"/>
  <c r="N17" i="58"/>
  <c r="G173" i="58" s="1"/>
  <c r="M17" i="58"/>
  <c r="N16" i="58"/>
  <c r="M16" i="58"/>
  <c r="C17" i="58"/>
  <c r="T181" i="58" s="1"/>
  <c r="N15" i="58"/>
  <c r="M15" i="58"/>
  <c r="L14" i="58"/>
  <c r="M14" i="58" s="1"/>
  <c r="L13" i="58"/>
  <c r="N13" i="58" s="1"/>
  <c r="L12" i="58"/>
  <c r="N12" i="58" s="1"/>
  <c r="C13" i="58"/>
  <c r="L11" i="58"/>
  <c r="N11" i="58" s="1"/>
  <c r="L10" i="58"/>
  <c r="M10" i="58" s="1"/>
  <c r="L9" i="58"/>
  <c r="N9" i="58" s="1"/>
  <c r="R206" i="55"/>
  <c r="R195" i="55"/>
  <c r="R184" i="55"/>
  <c r="B176" i="55"/>
  <c r="R172" i="55"/>
  <c r="B172" i="55"/>
  <c r="B173" i="55" s="1"/>
  <c r="B132" i="55"/>
  <c r="B111" i="55"/>
  <c r="O112" i="55" s="1"/>
  <c r="B100" i="55"/>
  <c r="B89" i="55"/>
  <c r="K36" i="55"/>
  <c r="M29" i="55"/>
  <c r="L27" i="55"/>
  <c r="P22" i="55"/>
  <c r="C19" i="55"/>
  <c r="N17" i="55"/>
  <c r="M17" i="55"/>
  <c r="N16" i="55"/>
  <c r="M16" i="55"/>
  <c r="C17" i="55"/>
  <c r="O99" i="55" s="1"/>
  <c r="N15" i="55"/>
  <c r="M15" i="55"/>
  <c r="L14" i="55"/>
  <c r="N14" i="55" s="1"/>
  <c r="L13" i="55"/>
  <c r="M13" i="55" s="1"/>
  <c r="C14" i="55"/>
  <c r="L12" i="55"/>
  <c r="M12" i="55" s="1"/>
  <c r="C13" i="55"/>
  <c r="L11" i="55"/>
  <c r="M11" i="55" s="1"/>
  <c r="N10" i="55"/>
  <c r="L10" i="55"/>
  <c r="M10" i="55" s="1"/>
  <c r="L9" i="55"/>
  <c r="M9" i="55" s="1"/>
  <c r="C19" i="51"/>
  <c r="C19" i="53"/>
  <c r="R206" i="53"/>
  <c r="R195" i="53"/>
  <c r="R184" i="53"/>
  <c r="B176" i="53"/>
  <c r="R172" i="53"/>
  <c r="B172" i="53"/>
  <c r="B173" i="53" s="1"/>
  <c r="B132" i="53"/>
  <c r="B133" i="53" s="1"/>
  <c r="B111" i="53"/>
  <c r="O112" i="53" s="1"/>
  <c r="B100" i="53"/>
  <c r="B89" i="53"/>
  <c r="O91" i="53" s="1"/>
  <c r="K36" i="53"/>
  <c r="M29" i="53"/>
  <c r="L27" i="53"/>
  <c r="N17" i="53"/>
  <c r="M17" i="53"/>
  <c r="N16" i="53"/>
  <c r="M16" i="53"/>
  <c r="C17" i="53"/>
  <c r="O87" i="53" s="1"/>
  <c r="N15" i="53"/>
  <c r="M15" i="53"/>
  <c r="L14" i="53"/>
  <c r="M14" i="53" s="1"/>
  <c r="L13" i="53"/>
  <c r="N13" i="53" s="1"/>
  <c r="C14" i="53"/>
  <c r="L12" i="53"/>
  <c r="N12" i="53" s="1"/>
  <c r="C13" i="53"/>
  <c r="L11" i="53"/>
  <c r="M11" i="53" s="1"/>
  <c r="L10" i="53"/>
  <c r="M10" i="53" s="1"/>
  <c r="L9" i="53"/>
  <c r="N9" i="53" s="1"/>
  <c r="R206" i="51"/>
  <c r="R195" i="51"/>
  <c r="R184" i="51"/>
  <c r="R172" i="51"/>
  <c r="B132" i="51"/>
  <c r="B111" i="51"/>
  <c r="O112" i="51" s="1"/>
  <c r="B176" i="51"/>
  <c r="B172" i="51"/>
  <c r="B173" i="51" s="1"/>
  <c r="B100" i="51"/>
  <c r="B89" i="51"/>
  <c r="O91" i="51" s="1"/>
  <c r="K36" i="51"/>
  <c r="M29" i="51"/>
  <c r="L27" i="51"/>
  <c r="C14" i="51"/>
  <c r="P22" i="51"/>
  <c r="N17" i="51"/>
  <c r="M17" i="51"/>
  <c r="N16" i="51"/>
  <c r="M16" i="51"/>
  <c r="C17" i="51"/>
  <c r="O110" i="51" s="1"/>
  <c r="N15" i="51"/>
  <c r="M15" i="51"/>
  <c r="L14" i="51"/>
  <c r="M14" i="51" s="1"/>
  <c r="L13" i="51"/>
  <c r="N13" i="51" s="1"/>
  <c r="L12" i="51"/>
  <c r="N12" i="51" s="1"/>
  <c r="C13" i="51"/>
  <c r="L11" i="51"/>
  <c r="N11" i="51" s="1"/>
  <c r="L10" i="51"/>
  <c r="N10" i="51" s="1"/>
  <c r="L9" i="51"/>
  <c r="N9" i="51" s="1"/>
  <c r="M19" i="53" l="1"/>
  <c r="M20" i="53"/>
  <c r="G177" i="53" s="1"/>
  <c r="R132" i="62"/>
  <c r="R133" i="62" s="1"/>
  <c r="V128" i="62"/>
  <c r="V129" i="62" s="1"/>
  <c r="M20" i="63"/>
  <c r="M19" i="63"/>
  <c r="T181" i="61"/>
  <c r="M9" i="58"/>
  <c r="C68" i="65"/>
  <c r="R130" i="65"/>
  <c r="R136" i="65" s="1"/>
  <c r="M19" i="59"/>
  <c r="G173" i="59" s="1"/>
  <c r="M20" i="59"/>
  <c r="G177" i="59" s="1"/>
  <c r="M20" i="51"/>
  <c r="M19" i="51"/>
  <c r="M20" i="55"/>
  <c r="M19" i="55"/>
  <c r="B133" i="63"/>
  <c r="V128" i="63"/>
  <c r="V129" i="63" s="1"/>
  <c r="M14" i="61"/>
  <c r="G177" i="63"/>
  <c r="V127" i="65"/>
  <c r="G177" i="51"/>
  <c r="R132" i="61"/>
  <c r="R133" i="61" s="1"/>
  <c r="V128" i="61"/>
  <c r="V129" i="61" s="1"/>
  <c r="B133" i="55"/>
  <c r="V128" i="55"/>
  <c r="V129" i="55" s="1"/>
  <c r="S163" i="81"/>
  <c r="S164" i="81" s="1"/>
  <c r="S165" i="81" s="1"/>
  <c r="D165" i="81" s="1"/>
  <c r="M130" i="80"/>
  <c r="C35" i="80"/>
  <c r="V133" i="69"/>
  <c r="V134" i="69" s="1"/>
  <c r="V135" i="69" s="1"/>
  <c r="AE195" i="70"/>
  <c r="B134" i="68"/>
  <c r="R130" i="68"/>
  <c r="T181" i="63"/>
  <c r="O156" i="78"/>
  <c r="P22" i="53"/>
  <c r="C81" i="53"/>
  <c r="P22" i="60"/>
  <c r="C81" i="60"/>
  <c r="C70" i="60"/>
  <c r="O90" i="59"/>
  <c r="C61" i="65"/>
  <c r="B164" i="71"/>
  <c r="B165" i="71" s="1"/>
  <c r="C37" i="71" s="1"/>
  <c r="C76" i="65"/>
  <c r="B112" i="81"/>
  <c r="B113" i="81" s="1"/>
  <c r="B114" i="81" s="1"/>
  <c r="B116" i="81" s="1"/>
  <c r="C34" i="81" s="1"/>
  <c r="T181" i="60"/>
  <c r="B127" i="64"/>
  <c r="B128" i="64" s="1"/>
  <c r="G139" i="70"/>
  <c r="C35" i="70" s="1"/>
  <c r="M10" i="63"/>
  <c r="B163" i="81"/>
  <c r="B164" i="81" s="1"/>
  <c r="G139" i="74"/>
  <c r="C35" i="74" s="1"/>
  <c r="M150" i="77"/>
  <c r="M151" i="77" s="1"/>
  <c r="M152" i="77" s="1"/>
  <c r="M14" i="59"/>
  <c r="M9" i="62"/>
  <c r="M163" i="77"/>
  <c r="M164" i="77" s="1"/>
  <c r="M165" i="77" s="1"/>
  <c r="B164" i="80"/>
  <c r="B165" i="80" s="1"/>
  <c r="G165" i="80" s="1"/>
  <c r="C37" i="80" s="1"/>
  <c r="O156" i="80"/>
  <c r="B151" i="80"/>
  <c r="B152" i="80" s="1"/>
  <c r="G152" i="80" s="1"/>
  <c r="C36" i="80" s="1"/>
  <c r="O143" i="80"/>
  <c r="C60" i="79"/>
  <c r="C64" i="79" s="1"/>
  <c r="B116" i="79"/>
  <c r="C34" i="79" s="1"/>
  <c r="B105" i="79"/>
  <c r="C33" i="79" s="1"/>
  <c r="E63" i="79"/>
  <c r="F30" i="79"/>
  <c r="B163" i="79"/>
  <c r="D158" i="79"/>
  <c r="B137" i="79"/>
  <c r="B138" i="79" s="1"/>
  <c r="B139" i="79" s="1"/>
  <c r="O135" i="79"/>
  <c r="K137" i="79"/>
  <c r="K138" i="79" s="1"/>
  <c r="K139" i="79" s="1"/>
  <c r="R137" i="79"/>
  <c r="R138" i="79" s="1"/>
  <c r="R139" i="79" s="1"/>
  <c r="M131" i="79" s="1"/>
  <c r="B150" i="79"/>
  <c r="D145" i="79"/>
  <c r="M163" i="79"/>
  <c r="M164" i="79" s="1"/>
  <c r="M165" i="79" s="1"/>
  <c r="M150" i="79"/>
  <c r="M151" i="79" s="1"/>
  <c r="M152" i="79" s="1"/>
  <c r="G152" i="78"/>
  <c r="C36" i="78" s="1"/>
  <c r="G165" i="78"/>
  <c r="C37" i="78" s="1"/>
  <c r="B116" i="77"/>
  <c r="C34" i="77" s="1"/>
  <c r="B105" i="77"/>
  <c r="C33" i="77" s="1"/>
  <c r="K137" i="77"/>
  <c r="K138" i="77" s="1"/>
  <c r="K139" i="77" s="1"/>
  <c r="R137" i="77"/>
  <c r="R138" i="77" s="1"/>
  <c r="R139" i="77" s="1"/>
  <c r="M131" i="77" s="1"/>
  <c r="B163" i="77"/>
  <c r="O156" i="77" s="1"/>
  <c r="D158" i="77"/>
  <c r="E63" i="77"/>
  <c r="F30" i="77"/>
  <c r="C60" i="77"/>
  <c r="C64" i="77" s="1"/>
  <c r="B150" i="77"/>
  <c r="O143" i="77" s="1"/>
  <c r="D145" i="77"/>
  <c r="B137" i="77"/>
  <c r="B138" i="77" s="1"/>
  <c r="B139" i="77" s="1"/>
  <c r="O135" i="77"/>
  <c r="B151" i="74"/>
  <c r="B152" i="74" s="1"/>
  <c r="C36" i="74" s="1"/>
  <c r="O143" i="74"/>
  <c r="B164" i="74"/>
  <c r="B165" i="74" s="1"/>
  <c r="O156" i="74"/>
  <c r="B151" i="72"/>
  <c r="B152" i="72" s="1"/>
  <c r="C36" i="72" s="1"/>
  <c r="O148" i="72"/>
  <c r="B164" i="72"/>
  <c r="B165" i="72" s="1"/>
  <c r="C37" i="72" s="1"/>
  <c r="O161" i="72"/>
  <c r="C70" i="58"/>
  <c r="M10" i="60"/>
  <c r="B164" i="70"/>
  <c r="B165" i="70" s="1"/>
  <c r="C37" i="70" s="1"/>
  <c r="O161" i="70"/>
  <c r="B151" i="70"/>
  <c r="B152" i="70" s="1"/>
  <c r="C36" i="70" s="1"/>
  <c r="O148" i="70"/>
  <c r="B105" i="69"/>
  <c r="C33" i="69" s="1"/>
  <c r="C60" i="69"/>
  <c r="C64" i="69" s="1"/>
  <c r="R137" i="69"/>
  <c r="R138" i="69" s="1"/>
  <c r="R139" i="69" s="1"/>
  <c r="K137" i="69"/>
  <c r="K138" i="69" s="1"/>
  <c r="K139" i="69" s="1"/>
  <c r="B163" i="69"/>
  <c r="D158" i="69"/>
  <c r="F30" i="69"/>
  <c r="B150" i="69"/>
  <c r="D145" i="69"/>
  <c r="B116" i="69"/>
  <c r="C34" i="69" s="1"/>
  <c r="G139" i="69"/>
  <c r="C35" i="69" s="1"/>
  <c r="B135" i="68"/>
  <c r="C68" i="68"/>
  <c r="C69" i="68" s="1"/>
  <c r="C71" i="68" s="1"/>
  <c r="C72" i="68" s="1"/>
  <c r="C73" i="68" s="1"/>
  <c r="C78" i="68" s="1"/>
  <c r="C82" i="68" s="1"/>
  <c r="B146" i="68"/>
  <c r="R131" i="68"/>
  <c r="R136" i="68"/>
  <c r="B90" i="68"/>
  <c r="B91" i="68" s="1"/>
  <c r="B92" i="68" s="1"/>
  <c r="M80" i="68"/>
  <c r="C81" i="68" s="1"/>
  <c r="E81" i="68" s="1"/>
  <c r="B157" i="68"/>
  <c r="B160" i="68" s="1"/>
  <c r="M98" i="68"/>
  <c r="M86" i="68"/>
  <c r="M67" i="68"/>
  <c r="C63" i="68" s="1"/>
  <c r="B144" i="68"/>
  <c r="B147" i="68" s="1"/>
  <c r="B130" i="68"/>
  <c r="M109" i="68"/>
  <c r="B159" i="68"/>
  <c r="B131" i="68"/>
  <c r="C45" i="68"/>
  <c r="C46" i="68" s="1"/>
  <c r="C48" i="68" s="1"/>
  <c r="C49" i="68" s="1"/>
  <c r="C59" i="68" s="1"/>
  <c r="V199" i="68"/>
  <c r="R198" i="68" s="1"/>
  <c r="T193" i="68"/>
  <c r="T194" i="68" s="1"/>
  <c r="R196" i="68" s="1"/>
  <c r="R197" i="68" s="1"/>
  <c r="T171" i="68"/>
  <c r="R173" i="68" s="1"/>
  <c r="R174" i="68" s="1"/>
  <c r="R188" i="68"/>
  <c r="H34" i="68" s="1"/>
  <c r="AE184" i="68"/>
  <c r="M35" i="68"/>
  <c r="K37" i="68" s="1"/>
  <c r="K38" i="68" s="1"/>
  <c r="R210" i="68"/>
  <c r="AE206" i="68"/>
  <c r="B169" i="67"/>
  <c r="C40" i="67"/>
  <c r="C41" i="67" s="1"/>
  <c r="C42" i="67" s="1"/>
  <c r="M59" i="59"/>
  <c r="R132" i="63"/>
  <c r="R133" i="63" s="1"/>
  <c r="M13" i="53"/>
  <c r="M9" i="53"/>
  <c r="M12" i="53"/>
  <c r="N11" i="53"/>
  <c r="R132" i="55"/>
  <c r="R133" i="55" s="1"/>
  <c r="M12" i="58"/>
  <c r="M10" i="59"/>
  <c r="M12" i="62"/>
  <c r="M14" i="63"/>
  <c r="G173" i="63"/>
  <c r="N10" i="53"/>
  <c r="G173" i="53"/>
  <c r="M14" i="60"/>
  <c r="M10" i="61"/>
  <c r="M11" i="62"/>
  <c r="C76" i="67"/>
  <c r="M65" i="67"/>
  <c r="M66" i="67" s="1"/>
  <c r="C62" i="67" s="1"/>
  <c r="C61" i="67"/>
  <c r="C79" i="67"/>
  <c r="M78" i="67"/>
  <c r="M79" i="67" s="1"/>
  <c r="C80" i="67" s="1"/>
  <c r="T180" i="67"/>
  <c r="C180" i="67"/>
  <c r="F180" i="67" s="1"/>
  <c r="M33" i="67"/>
  <c r="M34" i="67"/>
  <c r="K39" i="67" s="1"/>
  <c r="T169" i="67"/>
  <c r="T170" i="67"/>
  <c r="R175" i="67" s="1"/>
  <c r="T182" i="67"/>
  <c r="T183" i="67" s="1"/>
  <c r="R185" i="67" s="1"/>
  <c r="R186" i="67" s="1"/>
  <c r="T205" i="67"/>
  <c r="R207" i="67" s="1"/>
  <c r="R208" i="67" s="1"/>
  <c r="C53" i="67"/>
  <c r="B159" i="66"/>
  <c r="M67" i="66"/>
  <c r="C63" i="66" s="1"/>
  <c r="B130" i="66"/>
  <c r="B136" i="66" s="1"/>
  <c r="M86" i="66"/>
  <c r="E88" i="66" s="1"/>
  <c r="B93" i="66" s="1"/>
  <c r="B131" i="66"/>
  <c r="B135" i="66"/>
  <c r="C45" i="66"/>
  <c r="C46" i="66" s="1"/>
  <c r="C48" i="66" s="1"/>
  <c r="C49" i="66" s="1"/>
  <c r="C50" i="66" s="1"/>
  <c r="M109" i="66"/>
  <c r="E110" i="66" s="1"/>
  <c r="B115" i="66" s="1"/>
  <c r="B144" i="66"/>
  <c r="B147" i="66" s="1"/>
  <c r="B148" i="66" s="1"/>
  <c r="B149" i="66" s="1"/>
  <c r="C68" i="66"/>
  <c r="C69" i="66" s="1"/>
  <c r="C71" i="66" s="1"/>
  <c r="C72" i="66" s="1"/>
  <c r="C73" i="66" s="1"/>
  <c r="B90" i="66"/>
  <c r="B91" i="66" s="1"/>
  <c r="B92" i="66" s="1"/>
  <c r="M80" i="66"/>
  <c r="C81" i="66" s="1"/>
  <c r="B157" i="66"/>
  <c r="B160" i="66" s="1"/>
  <c r="C53" i="66"/>
  <c r="C76" i="66"/>
  <c r="B134" i="66"/>
  <c r="B128" i="66"/>
  <c r="M65" i="66"/>
  <c r="M66" i="66" s="1"/>
  <c r="C62" i="66" s="1"/>
  <c r="C61" i="66"/>
  <c r="M33" i="66"/>
  <c r="M34" i="66"/>
  <c r="K39" i="66" s="1"/>
  <c r="T205" i="66"/>
  <c r="R207" i="66" s="1"/>
  <c r="R208" i="66" s="1"/>
  <c r="B112" i="66"/>
  <c r="B113" i="66" s="1"/>
  <c r="B114" i="66" s="1"/>
  <c r="C180" i="66"/>
  <c r="F180" i="66" s="1"/>
  <c r="B101" i="66"/>
  <c r="B102" i="66" s="1"/>
  <c r="B103" i="66" s="1"/>
  <c r="M78" i="66"/>
  <c r="M79" i="66" s="1"/>
  <c r="C80" i="66" s="1"/>
  <c r="C79" i="66"/>
  <c r="T169" i="66"/>
  <c r="T170" i="66"/>
  <c r="R175" i="66" s="1"/>
  <c r="T182" i="66"/>
  <c r="T183" i="66" s="1"/>
  <c r="R185" i="66" s="1"/>
  <c r="R186" i="66" s="1"/>
  <c r="T180" i="66"/>
  <c r="M98" i="66"/>
  <c r="C53" i="65"/>
  <c r="B144" i="65"/>
  <c r="B147" i="65" s="1"/>
  <c r="B157" i="65"/>
  <c r="B160" i="65" s="1"/>
  <c r="B159" i="65"/>
  <c r="B146" i="65"/>
  <c r="M67" i="65"/>
  <c r="C45" i="65"/>
  <c r="C46" i="65" s="1"/>
  <c r="C48" i="65" s="1"/>
  <c r="C49" i="65" s="1"/>
  <c r="C59" i="65" s="1"/>
  <c r="B101" i="65"/>
  <c r="B102" i="65" s="1"/>
  <c r="B103" i="65" s="1"/>
  <c r="B135" i="65"/>
  <c r="M109" i="65"/>
  <c r="M98" i="65"/>
  <c r="C69" i="65"/>
  <c r="C71" i="65" s="1"/>
  <c r="C72" i="65" s="1"/>
  <c r="B131" i="65"/>
  <c r="B130" i="65"/>
  <c r="C79" i="65"/>
  <c r="M78" i="65"/>
  <c r="M79" i="65" s="1"/>
  <c r="C80" i="65" s="1"/>
  <c r="M33" i="65"/>
  <c r="M34" i="65"/>
  <c r="K39" i="65" s="1"/>
  <c r="T169" i="65"/>
  <c r="T182" i="65"/>
  <c r="T183" i="65" s="1"/>
  <c r="R185" i="65" s="1"/>
  <c r="R186" i="65" s="1"/>
  <c r="T170" i="65"/>
  <c r="R175" i="65" s="1"/>
  <c r="T205" i="65"/>
  <c r="R207" i="65" s="1"/>
  <c r="R208" i="65" s="1"/>
  <c r="R131" i="65"/>
  <c r="M80" i="65"/>
  <c r="M86" i="65"/>
  <c r="T180" i="65"/>
  <c r="B134" i="65"/>
  <c r="B128" i="65"/>
  <c r="C180" i="65"/>
  <c r="F180" i="65" s="1"/>
  <c r="B90" i="65"/>
  <c r="B91" i="65" s="1"/>
  <c r="B92" i="65" s="1"/>
  <c r="B87" i="64"/>
  <c r="C77" i="64"/>
  <c r="M71" i="64"/>
  <c r="M73" i="64" s="1"/>
  <c r="C75" i="64"/>
  <c r="C40" i="64"/>
  <c r="C41" i="64" s="1"/>
  <c r="C42" i="64" s="1"/>
  <c r="V127" i="64" s="1"/>
  <c r="C74" i="64"/>
  <c r="E63" i="64"/>
  <c r="C51" i="64"/>
  <c r="G176" i="64"/>
  <c r="B178" i="64" s="1"/>
  <c r="B112" i="64"/>
  <c r="B113" i="64" s="1"/>
  <c r="B114" i="64" s="1"/>
  <c r="C57" i="64"/>
  <c r="C58" i="64" s="1"/>
  <c r="C54" i="64"/>
  <c r="C52" i="64"/>
  <c r="T202" i="64"/>
  <c r="T203" i="64" s="1"/>
  <c r="T204" i="64" s="1"/>
  <c r="R209" i="64" s="1"/>
  <c r="T179" i="64"/>
  <c r="R187" i="64" s="1"/>
  <c r="M32" i="64"/>
  <c r="T191" i="64"/>
  <c r="T192" i="64" s="1"/>
  <c r="T168" i="64"/>
  <c r="G172" i="64"/>
  <c r="B174" i="64" s="1"/>
  <c r="B169" i="64"/>
  <c r="B101" i="64"/>
  <c r="B102" i="64" s="1"/>
  <c r="B103" i="64" s="1"/>
  <c r="C21" i="63"/>
  <c r="O87" i="63"/>
  <c r="O89" i="63"/>
  <c r="O101" i="63"/>
  <c r="O88" i="63"/>
  <c r="O90" i="63"/>
  <c r="B87" i="63"/>
  <c r="B127" i="63"/>
  <c r="C70" i="63"/>
  <c r="B143" i="63"/>
  <c r="P22" i="63"/>
  <c r="M9" i="63"/>
  <c r="M11" i="63"/>
  <c r="M12" i="63"/>
  <c r="M13" i="63"/>
  <c r="L22" i="63"/>
  <c r="C26" i="63"/>
  <c r="C47" i="63"/>
  <c r="C63" i="63"/>
  <c r="O99" i="63"/>
  <c r="O100" i="63"/>
  <c r="O103" i="63"/>
  <c r="O110" i="63"/>
  <c r="B156" i="63"/>
  <c r="B173" i="63"/>
  <c r="C22" i="63"/>
  <c r="C25" i="63"/>
  <c r="C27" i="63"/>
  <c r="C61" i="63"/>
  <c r="M72" i="62"/>
  <c r="C21" i="62"/>
  <c r="O90" i="62"/>
  <c r="O101" i="62"/>
  <c r="C70" i="62"/>
  <c r="M10" i="62"/>
  <c r="N13" i="62"/>
  <c r="M14" i="62"/>
  <c r="G177" i="62"/>
  <c r="C22" i="62"/>
  <c r="M71" i="62" s="1"/>
  <c r="C25" i="62"/>
  <c r="C27" i="62"/>
  <c r="C47" i="62"/>
  <c r="C63" i="62"/>
  <c r="B86" i="62"/>
  <c r="O87" i="62"/>
  <c r="O88" i="62"/>
  <c r="O89" i="62"/>
  <c r="O99" i="62"/>
  <c r="O100" i="62"/>
  <c r="O103" i="62"/>
  <c r="O110" i="62"/>
  <c r="B133" i="62"/>
  <c r="B143" i="62"/>
  <c r="B156" i="62"/>
  <c r="L22" i="62"/>
  <c r="C26" i="62"/>
  <c r="C61" i="62"/>
  <c r="O87" i="61"/>
  <c r="O89" i="61"/>
  <c r="O100" i="61"/>
  <c r="C22" i="61"/>
  <c r="O88" i="61"/>
  <c r="O99" i="61"/>
  <c r="O110" i="61"/>
  <c r="N9" i="61"/>
  <c r="N11" i="61"/>
  <c r="N12" i="61"/>
  <c r="N13" i="61"/>
  <c r="C25" i="61"/>
  <c r="C27" i="61"/>
  <c r="C47" i="61"/>
  <c r="E31" i="61"/>
  <c r="B86" i="61"/>
  <c r="O101" i="61"/>
  <c r="B133" i="61"/>
  <c r="B143" i="61"/>
  <c r="B156" i="61"/>
  <c r="B177" i="61"/>
  <c r="C21" i="61"/>
  <c r="L22" i="61"/>
  <c r="C26" i="61"/>
  <c r="C22" i="60"/>
  <c r="O110" i="60"/>
  <c r="O100" i="60"/>
  <c r="O99" i="60"/>
  <c r="C21" i="60"/>
  <c r="N9" i="60"/>
  <c r="N11" i="60"/>
  <c r="N12" i="60"/>
  <c r="N13" i="60"/>
  <c r="C25" i="60"/>
  <c r="C27" i="60"/>
  <c r="C47" i="60"/>
  <c r="C63" i="60"/>
  <c r="B86" i="60"/>
  <c r="O101" i="60"/>
  <c r="B143" i="60"/>
  <c r="B156" i="60"/>
  <c r="B173" i="60"/>
  <c r="B177" i="60"/>
  <c r="L22" i="60"/>
  <c r="C26" i="60"/>
  <c r="C61" i="60"/>
  <c r="B156" i="59"/>
  <c r="B143" i="59"/>
  <c r="B86" i="59"/>
  <c r="C70" i="59"/>
  <c r="C47" i="59"/>
  <c r="C27" i="59"/>
  <c r="C25" i="59"/>
  <c r="C26" i="59"/>
  <c r="N9" i="59"/>
  <c r="N11" i="59"/>
  <c r="N12" i="59"/>
  <c r="N13" i="59"/>
  <c r="C21" i="59"/>
  <c r="O99" i="59"/>
  <c r="O100" i="59"/>
  <c r="O110" i="59"/>
  <c r="O111" i="59"/>
  <c r="T181" i="59"/>
  <c r="C22" i="59"/>
  <c r="P22" i="59"/>
  <c r="O87" i="59"/>
  <c r="O88" i="59"/>
  <c r="O89" i="59"/>
  <c r="M11" i="58"/>
  <c r="M13" i="58"/>
  <c r="N10" i="58"/>
  <c r="N14" i="58"/>
  <c r="G177" i="58"/>
  <c r="C22" i="58"/>
  <c r="C25" i="58"/>
  <c r="C27" i="58"/>
  <c r="C47" i="58"/>
  <c r="C63" i="58"/>
  <c r="E81" i="58"/>
  <c r="B86" i="58"/>
  <c r="O87" i="58"/>
  <c r="O88" i="58"/>
  <c r="O101" i="58"/>
  <c r="O110" i="58"/>
  <c r="B143" i="58"/>
  <c r="B156" i="58"/>
  <c r="B177" i="58"/>
  <c r="C21" i="58"/>
  <c r="L22" i="58"/>
  <c r="C26" i="58"/>
  <c r="C61" i="58"/>
  <c r="O99" i="58"/>
  <c r="C22" i="55"/>
  <c r="C70" i="55"/>
  <c r="O110" i="55"/>
  <c r="M14" i="55"/>
  <c r="C21" i="55"/>
  <c r="N9" i="55"/>
  <c r="O88" i="55"/>
  <c r="O87" i="55"/>
  <c r="L22" i="55"/>
  <c r="N11" i="55"/>
  <c r="N12" i="55"/>
  <c r="N13" i="55"/>
  <c r="C27" i="55"/>
  <c r="C63" i="55"/>
  <c r="O91" i="55"/>
  <c r="B143" i="55"/>
  <c r="B156" i="55"/>
  <c r="B177" i="55"/>
  <c r="C26" i="55"/>
  <c r="C61" i="55"/>
  <c r="T181" i="55"/>
  <c r="C25" i="55"/>
  <c r="C47" i="55"/>
  <c r="E31" i="55"/>
  <c r="B86" i="55"/>
  <c r="O101" i="55"/>
  <c r="O110" i="53"/>
  <c r="O99" i="53"/>
  <c r="O88" i="53"/>
  <c r="C22" i="53"/>
  <c r="C21" i="53"/>
  <c r="C70" i="53"/>
  <c r="N14" i="53"/>
  <c r="C27" i="53"/>
  <c r="C63" i="53"/>
  <c r="B143" i="53"/>
  <c r="B156" i="53"/>
  <c r="B177" i="53"/>
  <c r="L22" i="53"/>
  <c r="C26" i="53"/>
  <c r="C61" i="53"/>
  <c r="T181" i="53"/>
  <c r="C25" i="53"/>
  <c r="C47" i="53"/>
  <c r="B86" i="53"/>
  <c r="O101" i="53"/>
  <c r="T181" i="51"/>
  <c r="B156" i="51"/>
  <c r="M12" i="51"/>
  <c r="M11" i="51"/>
  <c r="M13" i="51"/>
  <c r="G173" i="51"/>
  <c r="C22" i="51"/>
  <c r="G172" i="51" s="1"/>
  <c r="M9" i="51"/>
  <c r="M10" i="51"/>
  <c r="B143" i="51"/>
  <c r="O87" i="51"/>
  <c r="B133" i="51"/>
  <c r="N14" i="51"/>
  <c r="C27" i="51"/>
  <c r="E30" i="51"/>
  <c r="O88" i="51"/>
  <c r="B177" i="51"/>
  <c r="C21" i="51"/>
  <c r="L22" i="51"/>
  <c r="C26" i="51"/>
  <c r="C47" i="51"/>
  <c r="B86" i="51"/>
  <c r="B127" i="51" s="1"/>
  <c r="O99" i="51"/>
  <c r="C25" i="51"/>
  <c r="C70" i="51"/>
  <c r="O101" i="51"/>
  <c r="B128" i="63" l="1"/>
  <c r="R134" i="65"/>
  <c r="V130" i="65"/>
  <c r="R134" i="68"/>
  <c r="V130" i="68"/>
  <c r="B158" i="68"/>
  <c r="D158" i="68" s="1"/>
  <c r="B136" i="68"/>
  <c r="K137" i="68" s="1"/>
  <c r="V126" i="68"/>
  <c r="V132" i="68" s="1"/>
  <c r="R135" i="65"/>
  <c r="V131" i="65"/>
  <c r="R130" i="67"/>
  <c r="K128" i="67" s="1"/>
  <c r="V127" i="67"/>
  <c r="B136" i="65"/>
  <c r="V126" i="65"/>
  <c r="V132" i="65" s="1"/>
  <c r="V133" i="65" s="1"/>
  <c r="V134" i="65" s="1"/>
  <c r="V135" i="65" s="1"/>
  <c r="R135" i="68"/>
  <c r="V131" i="68"/>
  <c r="M130" i="79"/>
  <c r="C35" i="79"/>
  <c r="R137" i="68"/>
  <c r="R138" i="68" s="1"/>
  <c r="R139" i="68" s="1"/>
  <c r="B148" i="68"/>
  <c r="B149" i="68" s="1"/>
  <c r="O67" i="68"/>
  <c r="O80" i="68"/>
  <c r="M80" i="67"/>
  <c r="C81" i="67" s="1"/>
  <c r="E31" i="60"/>
  <c r="E31" i="53"/>
  <c r="B165" i="81"/>
  <c r="F165" i="81" s="1"/>
  <c r="C37" i="81" s="1"/>
  <c r="C40" i="55"/>
  <c r="C41" i="55" s="1"/>
  <c r="C42" i="55" s="1"/>
  <c r="V127" i="55" s="1"/>
  <c r="O161" i="81"/>
  <c r="C40" i="63"/>
  <c r="C41" i="63" s="1"/>
  <c r="C42" i="63" s="1"/>
  <c r="V127" i="63" s="1"/>
  <c r="G152" i="74"/>
  <c r="C37" i="74"/>
  <c r="G165" i="74"/>
  <c r="B161" i="68"/>
  <c r="B162" i="68" s="1"/>
  <c r="F30" i="62"/>
  <c r="M73" i="62"/>
  <c r="M78" i="62" s="1"/>
  <c r="M79" i="62" s="1"/>
  <c r="C80" i="62" s="1"/>
  <c r="B151" i="79"/>
  <c r="B152" i="79" s="1"/>
  <c r="G152" i="79" s="1"/>
  <c r="C36" i="79" s="1"/>
  <c r="O143" i="79"/>
  <c r="B164" i="79"/>
  <c r="B165" i="79" s="1"/>
  <c r="G165" i="79" s="1"/>
  <c r="C37" i="79" s="1"/>
  <c r="O156" i="79"/>
  <c r="M130" i="77"/>
  <c r="G139" i="77" s="1"/>
  <c r="C35" i="77" s="1"/>
  <c r="B164" i="77"/>
  <c r="B165" i="77" s="1"/>
  <c r="B151" i="77"/>
  <c r="B152" i="77" s="1"/>
  <c r="C36" i="77" s="1"/>
  <c r="B94" i="66"/>
  <c r="C32" i="66" s="1"/>
  <c r="C59" i="66"/>
  <c r="B164" i="69"/>
  <c r="B165" i="69" s="1"/>
  <c r="C37" i="69" s="1"/>
  <c r="O161" i="69"/>
  <c r="B151" i="69"/>
  <c r="B152" i="69" s="1"/>
  <c r="C36" i="69" s="1"/>
  <c r="O148" i="69"/>
  <c r="B145" i="68"/>
  <c r="E110" i="68"/>
  <c r="B115" i="68" s="1"/>
  <c r="M116" i="68"/>
  <c r="B112" i="68" s="1"/>
  <c r="B113" i="68" s="1"/>
  <c r="B114" i="68" s="1"/>
  <c r="E88" i="68"/>
  <c r="B93" i="68" s="1"/>
  <c r="B94" i="68" s="1"/>
  <c r="C32" i="68" s="1"/>
  <c r="M105" i="68"/>
  <c r="B101" i="68" s="1"/>
  <c r="B102" i="68" s="1"/>
  <c r="B103" i="68" s="1"/>
  <c r="F99" i="68"/>
  <c r="B104" i="68" s="1"/>
  <c r="D130" i="68"/>
  <c r="F130" i="68" s="1"/>
  <c r="C50" i="68"/>
  <c r="C55" i="68" s="1"/>
  <c r="C60" i="68" s="1"/>
  <c r="C64" i="68" s="1"/>
  <c r="K128" i="68"/>
  <c r="R176" i="68"/>
  <c r="H33" i="68" s="1"/>
  <c r="AE172" i="68"/>
  <c r="K40" i="68"/>
  <c r="X36" i="68"/>
  <c r="F30" i="68"/>
  <c r="E63" i="68"/>
  <c r="R199" i="68"/>
  <c r="H35" i="68" s="1"/>
  <c r="AE195" i="68"/>
  <c r="B90" i="67"/>
  <c r="B91" i="67" s="1"/>
  <c r="B92" i="67" s="1"/>
  <c r="B134" i="67"/>
  <c r="B130" i="67"/>
  <c r="V126" i="67" s="1"/>
  <c r="V132" i="67" s="1"/>
  <c r="B135" i="67"/>
  <c r="B157" i="67"/>
  <c r="M67" i="67"/>
  <c r="C63" i="67" s="1"/>
  <c r="E63" i="67" s="1"/>
  <c r="M86" i="67"/>
  <c r="E88" i="67" s="1"/>
  <c r="B93" i="67" s="1"/>
  <c r="C68" i="67"/>
  <c r="C69" i="67" s="1"/>
  <c r="C71" i="67" s="1"/>
  <c r="C72" i="67" s="1"/>
  <c r="C73" i="67" s="1"/>
  <c r="C45" i="67"/>
  <c r="C46" i="67" s="1"/>
  <c r="C48" i="67" s="1"/>
  <c r="C49" i="67" s="1"/>
  <c r="C50" i="67" s="1"/>
  <c r="B131" i="67"/>
  <c r="B159" i="67"/>
  <c r="R131" i="67"/>
  <c r="B146" i="67"/>
  <c r="B144" i="67"/>
  <c r="M109" i="67"/>
  <c r="M98" i="67"/>
  <c r="M105" i="67" s="1"/>
  <c r="B101" i="67" s="1"/>
  <c r="B102" i="67" s="1"/>
  <c r="B103" i="67" s="1"/>
  <c r="B146" i="64"/>
  <c r="B130" i="64"/>
  <c r="D130" i="64" s="1"/>
  <c r="F130" i="64" s="1"/>
  <c r="C40" i="59"/>
  <c r="C41" i="59" s="1"/>
  <c r="C42" i="59" s="1"/>
  <c r="B146" i="59" s="1"/>
  <c r="C55" i="66"/>
  <c r="K137" i="65"/>
  <c r="K138" i="65" s="1"/>
  <c r="K139" i="65" s="1"/>
  <c r="R210" i="67"/>
  <c r="AE206" i="67"/>
  <c r="M35" i="67"/>
  <c r="K37" i="67" s="1"/>
  <c r="K38" i="67" s="1"/>
  <c r="O80" i="67"/>
  <c r="T171" i="67"/>
  <c r="R173" i="67" s="1"/>
  <c r="R174" i="67" s="1"/>
  <c r="T193" i="67"/>
  <c r="T194" i="67" s="1"/>
  <c r="R196" i="67" s="1"/>
  <c r="R197" i="67" s="1"/>
  <c r="V199" i="67"/>
  <c r="R198" i="67" s="1"/>
  <c r="R188" i="67"/>
  <c r="H34" i="67" s="1"/>
  <c r="AE184" i="67"/>
  <c r="E81" i="67"/>
  <c r="B158" i="66"/>
  <c r="D158" i="66" s="1"/>
  <c r="B161" i="66"/>
  <c r="B162" i="66" s="1"/>
  <c r="B145" i="66"/>
  <c r="B150" i="66" s="1"/>
  <c r="D130" i="66"/>
  <c r="F130" i="66" s="1"/>
  <c r="B116" i="66"/>
  <c r="C34" i="66" s="1"/>
  <c r="E99" i="66"/>
  <c r="B104" i="66" s="1"/>
  <c r="B105" i="66" s="1"/>
  <c r="C33" i="66" s="1"/>
  <c r="C78" i="66"/>
  <c r="C82" i="66" s="1"/>
  <c r="O67" i="66"/>
  <c r="R188" i="66"/>
  <c r="H34" i="66" s="1"/>
  <c r="AE184" i="66"/>
  <c r="E81" i="66"/>
  <c r="F31" i="66"/>
  <c r="E63" i="66"/>
  <c r="F30" i="66"/>
  <c r="B137" i="66"/>
  <c r="B138" i="66" s="1"/>
  <c r="B139" i="66" s="1"/>
  <c r="C35" i="66" s="1"/>
  <c r="O135" i="66"/>
  <c r="O80" i="66"/>
  <c r="T171" i="66"/>
  <c r="R173" i="66" s="1"/>
  <c r="R174" i="66" s="1"/>
  <c r="T193" i="66"/>
  <c r="T194" i="66" s="1"/>
  <c r="R196" i="66" s="1"/>
  <c r="R197" i="66" s="1"/>
  <c r="V199" i="66"/>
  <c r="R198" i="66" s="1"/>
  <c r="R210" i="66"/>
  <c r="AE206" i="66"/>
  <c r="M35" i="66"/>
  <c r="K37" i="66" s="1"/>
  <c r="K38" i="66" s="1"/>
  <c r="R137" i="65"/>
  <c r="R138" i="65" s="1"/>
  <c r="R139" i="65" s="1"/>
  <c r="E99" i="65"/>
  <c r="B104" i="65" s="1"/>
  <c r="B105" i="65" s="1"/>
  <c r="C33" i="65" s="1"/>
  <c r="E88" i="65"/>
  <c r="B93" i="65" s="1"/>
  <c r="B94" i="65" s="1"/>
  <c r="C32" i="65" s="1"/>
  <c r="E110" i="65"/>
  <c r="B115" i="65" s="1"/>
  <c r="B116" i="65" s="1"/>
  <c r="C34" i="65" s="1"/>
  <c r="C63" i="65"/>
  <c r="O67" i="65"/>
  <c r="O80" i="65"/>
  <c r="C81" i="65"/>
  <c r="E81" i="65" s="1"/>
  <c r="R210" i="65"/>
  <c r="H36" i="65" s="1"/>
  <c r="AE206" i="65"/>
  <c r="T171" i="65"/>
  <c r="R173" i="65" s="1"/>
  <c r="R174" i="65" s="1"/>
  <c r="T193" i="65"/>
  <c r="T194" i="65" s="1"/>
  <c r="R196" i="65" s="1"/>
  <c r="R197" i="65" s="1"/>
  <c r="V199" i="65"/>
  <c r="R198" i="65" s="1"/>
  <c r="D130" i="65"/>
  <c r="F130" i="65" s="1"/>
  <c r="B158" i="65"/>
  <c r="B161" i="65"/>
  <c r="B162" i="65" s="1"/>
  <c r="K128" i="65"/>
  <c r="B137" i="65"/>
  <c r="B138" i="65" s="1"/>
  <c r="B139" i="65" s="1"/>
  <c r="O135" i="65"/>
  <c r="R188" i="65"/>
  <c r="H34" i="65" s="1"/>
  <c r="AE184" i="65"/>
  <c r="M35" i="65"/>
  <c r="K37" i="65" s="1"/>
  <c r="K38" i="65" s="1"/>
  <c r="C73" i="65"/>
  <c r="C78" i="65" s="1"/>
  <c r="C82" i="65" s="1"/>
  <c r="B145" i="65"/>
  <c r="B148" i="65"/>
  <c r="B149" i="65" s="1"/>
  <c r="C50" i="65"/>
  <c r="C55" i="65" s="1"/>
  <c r="C60" i="65" s="1"/>
  <c r="C64" i="65" s="1"/>
  <c r="B135" i="64"/>
  <c r="M86" i="64"/>
  <c r="E88" i="64" s="1"/>
  <c r="B93" i="64" s="1"/>
  <c r="B90" i="64"/>
  <c r="B91" i="64" s="1"/>
  <c r="B92" i="64" s="1"/>
  <c r="M98" i="64"/>
  <c r="E99" i="64" s="1"/>
  <c r="B104" i="64" s="1"/>
  <c r="B105" i="64" s="1"/>
  <c r="C33" i="64" s="1"/>
  <c r="R131" i="64"/>
  <c r="B134" i="64"/>
  <c r="M109" i="64"/>
  <c r="E110" i="64" s="1"/>
  <c r="B115" i="64" s="1"/>
  <c r="B116" i="64" s="1"/>
  <c r="C34" i="64" s="1"/>
  <c r="R130" i="64"/>
  <c r="B131" i="64"/>
  <c r="M80" i="64"/>
  <c r="C81" i="64" s="1"/>
  <c r="B157" i="64"/>
  <c r="B144" i="64"/>
  <c r="C45" i="64"/>
  <c r="C46" i="64" s="1"/>
  <c r="C48" i="64" s="1"/>
  <c r="C49" i="64" s="1"/>
  <c r="C59" i="64" s="1"/>
  <c r="C68" i="64"/>
  <c r="C69" i="64" s="1"/>
  <c r="C71" i="64" s="1"/>
  <c r="C72" i="64" s="1"/>
  <c r="C73" i="64" s="1"/>
  <c r="M78" i="64"/>
  <c r="M79" i="64" s="1"/>
  <c r="C80" i="64" s="1"/>
  <c r="C79" i="64"/>
  <c r="C76" i="64"/>
  <c r="B159" i="64"/>
  <c r="T169" i="64"/>
  <c r="T170" i="64"/>
  <c r="R175" i="64" s="1"/>
  <c r="T182" i="64"/>
  <c r="T183" i="64" s="1"/>
  <c r="R185" i="64" s="1"/>
  <c r="R186" i="64" s="1"/>
  <c r="M33" i="64"/>
  <c r="M34" i="64"/>
  <c r="K39" i="64" s="1"/>
  <c r="T205" i="64"/>
  <c r="R207" i="64" s="1"/>
  <c r="R208" i="64" s="1"/>
  <c r="C53" i="64"/>
  <c r="T180" i="64"/>
  <c r="M71" i="63"/>
  <c r="M73" i="63" s="1"/>
  <c r="M78" i="63" s="1"/>
  <c r="M79" i="63" s="1"/>
  <c r="T202" i="63"/>
  <c r="T203" i="63" s="1"/>
  <c r="T204" i="63" s="1"/>
  <c r="R209" i="63" s="1"/>
  <c r="T179" i="63"/>
  <c r="R187" i="63" s="1"/>
  <c r="M32" i="63"/>
  <c r="T191" i="63"/>
  <c r="T192" i="63" s="1"/>
  <c r="T168" i="63"/>
  <c r="G172" i="63"/>
  <c r="B174" i="63" s="1"/>
  <c r="B169" i="63"/>
  <c r="C74" i="63"/>
  <c r="C77" i="63"/>
  <c r="C75" i="63"/>
  <c r="B98" i="63"/>
  <c r="B109" i="63" s="1"/>
  <c r="E63" i="63"/>
  <c r="C57" i="63"/>
  <c r="C58" i="63" s="1"/>
  <c r="C54" i="63"/>
  <c r="C52" i="63"/>
  <c r="G176" i="63"/>
  <c r="B178" i="63" s="1"/>
  <c r="C51" i="63"/>
  <c r="C40" i="62"/>
  <c r="C41" i="62" s="1"/>
  <c r="C42" i="62" s="1"/>
  <c r="T202" i="62"/>
  <c r="T203" i="62" s="1"/>
  <c r="T204" i="62" s="1"/>
  <c r="R209" i="62" s="1"/>
  <c r="T179" i="62"/>
  <c r="R187" i="62" s="1"/>
  <c r="T191" i="62"/>
  <c r="T192" i="62" s="1"/>
  <c r="T168" i="62"/>
  <c r="M32" i="62"/>
  <c r="G172" i="62"/>
  <c r="B174" i="62" s="1"/>
  <c r="B169" i="62"/>
  <c r="C74" i="62"/>
  <c r="C77" i="62"/>
  <c r="C75" i="62"/>
  <c r="C57" i="62"/>
  <c r="C58" i="62" s="1"/>
  <c r="C54" i="62"/>
  <c r="C52" i="62"/>
  <c r="G176" i="62"/>
  <c r="B178" i="62" s="1"/>
  <c r="C51" i="62"/>
  <c r="B127" i="62"/>
  <c r="B87" i="62"/>
  <c r="B98" i="62"/>
  <c r="B109" i="62" s="1"/>
  <c r="E63" i="62"/>
  <c r="C40" i="61"/>
  <c r="C41" i="61" s="1"/>
  <c r="C42" i="61" s="1"/>
  <c r="C54" i="61"/>
  <c r="C52" i="61"/>
  <c r="G176" i="61"/>
  <c r="C51" i="61"/>
  <c r="T202" i="61"/>
  <c r="T203" i="61" s="1"/>
  <c r="T204" i="61" s="1"/>
  <c r="R209" i="61" s="1"/>
  <c r="T179" i="61"/>
  <c r="R187" i="61" s="1"/>
  <c r="T191" i="61"/>
  <c r="T192" i="61" s="1"/>
  <c r="T168" i="61"/>
  <c r="M32" i="61"/>
  <c r="G172" i="61"/>
  <c r="B169" i="61"/>
  <c r="C74" i="61"/>
  <c r="C77" i="61"/>
  <c r="C75" i="61"/>
  <c r="G173" i="61"/>
  <c r="G177" i="61"/>
  <c r="E81" i="61"/>
  <c r="B127" i="61"/>
  <c r="B98" i="61"/>
  <c r="B109" i="61" s="1"/>
  <c r="B112" i="61" s="1"/>
  <c r="B113" i="61" s="1"/>
  <c r="B114" i="61" s="1"/>
  <c r="B87" i="61"/>
  <c r="E63" i="61"/>
  <c r="E30" i="61"/>
  <c r="C40" i="60"/>
  <c r="C41" i="60" s="1"/>
  <c r="C42" i="60" s="1"/>
  <c r="C68" i="60" s="1"/>
  <c r="C57" i="60"/>
  <c r="C58" i="60" s="1"/>
  <c r="C54" i="60"/>
  <c r="C52" i="60"/>
  <c r="G176" i="60"/>
  <c r="C51" i="60"/>
  <c r="T202" i="60"/>
  <c r="T203" i="60" s="1"/>
  <c r="T204" i="60" s="1"/>
  <c r="R209" i="60" s="1"/>
  <c r="T179" i="60"/>
  <c r="R187" i="60" s="1"/>
  <c r="T191" i="60"/>
  <c r="T192" i="60" s="1"/>
  <c r="T168" i="60"/>
  <c r="M32" i="60"/>
  <c r="G172" i="60"/>
  <c r="B169" i="60"/>
  <c r="C74" i="60"/>
  <c r="C77" i="60"/>
  <c r="C75" i="60"/>
  <c r="G173" i="60"/>
  <c r="G177" i="60"/>
  <c r="E81" i="60"/>
  <c r="B127" i="60"/>
  <c r="B98" i="60"/>
  <c r="B109" i="60" s="1"/>
  <c r="B112" i="60" s="1"/>
  <c r="B113" i="60" s="1"/>
  <c r="B114" i="60" s="1"/>
  <c r="B87" i="60"/>
  <c r="E63" i="60"/>
  <c r="E30" i="60"/>
  <c r="B127" i="59"/>
  <c r="B98" i="59"/>
  <c r="B109" i="59" s="1"/>
  <c r="B87" i="59"/>
  <c r="C77" i="59"/>
  <c r="C75" i="59"/>
  <c r="M71" i="59"/>
  <c r="M73" i="59" s="1"/>
  <c r="G172" i="59"/>
  <c r="B174" i="59" s="1"/>
  <c r="B169" i="59"/>
  <c r="C74" i="59"/>
  <c r="C51" i="59"/>
  <c r="G176" i="59"/>
  <c r="B178" i="59" s="1"/>
  <c r="M58" i="59"/>
  <c r="M60" i="59" s="1"/>
  <c r="C57" i="59"/>
  <c r="C58" i="59" s="1"/>
  <c r="C54" i="59"/>
  <c r="C52" i="59"/>
  <c r="T191" i="59"/>
  <c r="T192" i="59" s="1"/>
  <c r="T168" i="59"/>
  <c r="M32" i="59"/>
  <c r="T202" i="59"/>
  <c r="T203" i="59" s="1"/>
  <c r="T204" i="59" s="1"/>
  <c r="R209" i="59" s="1"/>
  <c r="T179" i="59"/>
  <c r="R187" i="59" s="1"/>
  <c r="C57" i="58"/>
  <c r="C58" i="58" s="1"/>
  <c r="C54" i="58"/>
  <c r="C52" i="58"/>
  <c r="G176" i="58"/>
  <c r="B178" i="58" s="1"/>
  <c r="C51" i="58"/>
  <c r="B127" i="58"/>
  <c r="B98" i="58"/>
  <c r="B109" i="58" s="1"/>
  <c r="B112" i="58" s="1"/>
  <c r="B113" i="58" s="1"/>
  <c r="B114" i="58" s="1"/>
  <c r="B87" i="58"/>
  <c r="E63" i="58"/>
  <c r="E30" i="58"/>
  <c r="E31" i="58"/>
  <c r="T202" i="58"/>
  <c r="T203" i="58" s="1"/>
  <c r="T204" i="58" s="1"/>
  <c r="R209" i="58" s="1"/>
  <c r="T179" i="58"/>
  <c r="R187" i="58" s="1"/>
  <c r="T191" i="58"/>
  <c r="T192" i="58" s="1"/>
  <c r="T168" i="58"/>
  <c r="M32" i="58"/>
  <c r="G172" i="58"/>
  <c r="B174" i="58" s="1"/>
  <c r="B169" i="58"/>
  <c r="C74" i="58"/>
  <c r="C77" i="58"/>
  <c r="C75" i="58"/>
  <c r="C40" i="58"/>
  <c r="C41" i="58" s="1"/>
  <c r="C42" i="58" s="1"/>
  <c r="B90" i="58" s="1"/>
  <c r="B91" i="58" s="1"/>
  <c r="B92" i="58" s="1"/>
  <c r="B87" i="55"/>
  <c r="G173" i="55"/>
  <c r="G177" i="55"/>
  <c r="C54" i="55"/>
  <c r="G176" i="55"/>
  <c r="C51" i="55"/>
  <c r="C57" i="55"/>
  <c r="C58" i="55" s="1"/>
  <c r="C52" i="55"/>
  <c r="E81" i="55"/>
  <c r="B127" i="55"/>
  <c r="B98" i="55"/>
  <c r="B109" i="55" s="1"/>
  <c r="B112" i="55" s="1"/>
  <c r="B113" i="55" s="1"/>
  <c r="B114" i="55" s="1"/>
  <c r="B169" i="55"/>
  <c r="C74" i="55"/>
  <c r="C75" i="55"/>
  <c r="G172" i="55"/>
  <c r="C77" i="55"/>
  <c r="E63" i="55"/>
  <c r="E30" i="55"/>
  <c r="M32" i="55"/>
  <c r="T202" i="55"/>
  <c r="T203" i="55" s="1"/>
  <c r="T204" i="55" s="1"/>
  <c r="R209" i="55" s="1"/>
  <c r="T179" i="55"/>
  <c r="R187" i="55" s="1"/>
  <c r="T191" i="55"/>
  <c r="T192" i="55" s="1"/>
  <c r="T168" i="55"/>
  <c r="C40" i="53"/>
  <c r="C41" i="53" s="1"/>
  <c r="C42" i="53" s="1"/>
  <c r="C54" i="53"/>
  <c r="G176" i="53"/>
  <c r="B178" i="53" s="1"/>
  <c r="C51" i="53"/>
  <c r="C57" i="53"/>
  <c r="C58" i="53" s="1"/>
  <c r="C52" i="53"/>
  <c r="E81" i="53"/>
  <c r="B127" i="53"/>
  <c r="B98" i="53"/>
  <c r="B109" i="53" s="1"/>
  <c r="B112" i="53" s="1"/>
  <c r="B113" i="53" s="1"/>
  <c r="B114" i="53" s="1"/>
  <c r="B87" i="53"/>
  <c r="B169" i="53"/>
  <c r="C74" i="53"/>
  <c r="C75" i="53"/>
  <c r="G172" i="53"/>
  <c r="B174" i="53" s="1"/>
  <c r="C77" i="53"/>
  <c r="E63" i="53"/>
  <c r="E30" i="53"/>
  <c r="M32" i="53"/>
  <c r="T202" i="53"/>
  <c r="T203" i="53" s="1"/>
  <c r="T204" i="53" s="1"/>
  <c r="R209" i="53" s="1"/>
  <c r="T179" i="53"/>
  <c r="R187" i="53" s="1"/>
  <c r="T191" i="53"/>
  <c r="T192" i="53" s="1"/>
  <c r="T168" i="53"/>
  <c r="M32" i="51"/>
  <c r="M33" i="51" s="1"/>
  <c r="T168" i="51"/>
  <c r="T179" i="51"/>
  <c r="R187" i="51" s="1"/>
  <c r="T191" i="51"/>
  <c r="T192" i="51" s="1"/>
  <c r="T202" i="51"/>
  <c r="C77" i="51"/>
  <c r="C40" i="51"/>
  <c r="C41" i="51" s="1"/>
  <c r="C42" i="51" s="1"/>
  <c r="B159" i="51" s="1"/>
  <c r="B169" i="51"/>
  <c r="B174" i="51"/>
  <c r="B128" i="51"/>
  <c r="B98" i="51"/>
  <c r="B87" i="51"/>
  <c r="E81" i="51"/>
  <c r="E31" i="51"/>
  <c r="C75" i="51"/>
  <c r="E63" i="51"/>
  <c r="C54" i="51"/>
  <c r="G176" i="51"/>
  <c r="B178" i="51" s="1"/>
  <c r="C51" i="51"/>
  <c r="C52" i="51"/>
  <c r="C74" i="51"/>
  <c r="B137" i="68" l="1"/>
  <c r="B138" i="68" s="1"/>
  <c r="B139" i="68" s="1"/>
  <c r="K138" i="68"/>
  <c r="K139" i="68" s="1"/>
  <c r="B163" i="68"/>
  <c r="B164" i="68" s="1"/>
  <c r="B165" i="68" s="1"/>
  <c r="C37" i="68" s="1"/>
  <c r="B136" i="64"/>
  <c r="R135" i="67"/>
  <c r="V131" i="67"/>
  <c r="V133" i="67" s="1"/>
  <c r="V134" i="67" s="1"/>
  <c r="V135" i="67" s="1"/>
  <c r="R131" i="61"/>
  <c r="R130" i="61"/>
  <c r="R134" i="67"/>
  <c r="V130" i="67"/>
  <c r="V133" i="68"/>
  <c r="V134" i="68" s="1"/>
  <c r="V135" i="68" s="1"/>
  <c r="V127" i="61"/>
  <c r="O135" i="68"/>
  <c r="G139" i="68"/>
  <c r="C35" i="68" s="1"/>
  <c r="B150" i="68"/>
  <c r="B151" i="68" s="1"/>
  <c r="B152" i="68" s="1"/>
  <c r="C36" i="68" s="1"/>
  <c r="B105" i="68"/>
  <c r="C33" i="68" s="1"/>
  <c r="C60" i="66"/>
  <c r="C64" i="66" s="1"/>
  <c r="R135" i="64"/>
  <c r="V131" i="64"/>
  <c r="V126" i="64"/>
  <c r="V132" i="64" s="1"/>
  <c r="R134" i="64"/>
  <c r="V130" i="64"/>
  <c r="M86" i="62"/>
  <c r="E88" i="62" s="1"/>
  <c r="B93" i="62" s="1"/>
  <c r="V127" i="62"/>
  <c r="R131" i="55"/>
  <c r="R130" i="55"/>
  <c r="R136" i="55" s="1"/>
  <c r="M67" i="59"/>
  <c r="M80" i="59"/>
  <c r="C45" i="59"/>
  <c r="C46" i="59" s="1"/>
  <c r="C48" i="59" s="1"/>
  <c r="C49" i="59" s="1"/>
  <c r="C59" i="59" s="1"/>
  <c r="C68" i="59"/>
  <c r="C69" i="59" s="1"/>
  <c r="C71" i="59" s="1"/>
  <c r="C72" i="59" s="1"/>
  <c r="C73" i="59" s="1"/>
  <c r="B131" i="59"/>
  <c r="B90" i="59"/>
  <c r="B91" i="59" s="1"/>
  <c r="B92" i="59" s="1"/>
  <c r="M109" i="59"/>
  <c r="E110" i="59" s="1"/>
  <c r="B115" i="59" s="1"/>
  <c r="B130" i="59"/>
  <c r="B136" i="59" s="1"/>
  <c r="B135" i="59"/>
  <c r="M86" i="59"/>
  <c r="E88" i="59" s="1"/>
  <c r="B93" i="59" s="1"/>
  <c r="B157" i="59"/>
  <c r="B160" i="59" s="1"/>
  <c r="B159" i="59"/>
  <c r="B144" i="59"/>
  <c r="B147" i="59" s="1"/>
  <c r="B148" i="59" s="1"/>
  <c r="B149" i="59" s="1"/>
  <c r="C78" i="64"/>
  <c r="C82" i="64" s="1"/>
  <c r="C79" i="62"/>
  <c r="D145" i="68"/>
  <c r="C180" i="59"/>
  <c r="F180" i="59" s="1"/>
  <c r="O67" i="67"/>
  <c r="F30" i="67"/>
  <c r="C53" i="60"/>
  <c r="B94" i="64"/>
  <c r="C32" i="64" s="1"/>
  <c r="G152" i="77"/>
  <c r="C37" i="77"/>
  <c r="G165" i="77"/>
  <c r="B137" i="64"/>
  <c r="B138" i="64" s="1"/>
  <c r="B139" i="64" s="1"/>
  <c r="C35" i="64" s="1"/>
  <c r="B94" i="67"/>
  <c r="C32" i="67" s="1"/>
  <c r="C53" i="58"/>
  <c r="C53" i="62"/>
  <c r="B101" i="58"/>
  <c r="B102" i="58" s="1"/>
  <c r="B103" i="58" s="1"/>
  <c r="E110" i="67"/>
  <c r="B115" i="67" s="1"/>
  <c r="M116" i="67"/>
  <c r="B112" i="67" s="1"/>
  <c r="B113" i="67" s="1"/>
  <c r="B114" i="67" s="1"/>
  <c r="R136" i="67"/>
  <c r="R137" i="67" s="1"/>
  <c r="R138" i="67" s="1"/>
  <c r="R139" i="67" s="1"/>
  <c r="B116" i="68"/>
  <c r="C34" i="68" s="1"/>
  <c r="C59" i="67"/>
  <c r="C78" i="67"/>
  <c r="C82" i="67" s="1"/>
  <c r="C55" i="67"/>
  <c r="B147" i="67"/>
  <c r="B148" i="67" s="1"/>
  <c r="B149" i="67" s="1"/>
  <c r="B145" i="67"/>
  <c r="B136" i="67"/>
  <c r="D130" i="67"/>
  <c r="F130" i="67" s="1"/>
  <c r="E99" i="67"/>
  <c r="B160" i="67"/>
  <c r="B161" i="67" s="1"/>
  <c r="B162" i="67" s="1"/>
  <c r="B158" i="67"/>
  <c r="C53" i="61"/>
  <c r="B112" i="59"/>
  <c r="B113" i="59" s="1"/>
  <c r="B114" i="59" s="1"/>
  <c r="B101" i="59"/>
  <c r="B102" i="59" s="1"/>
  <c r="B103" i="59" s="1"/>
  <c r="C45" i="62"/>
  <c r="C46" i="62" s="1"/>
  <c r="C48" i="62" s="1"/>
  <c r="C49" i="62" s="1"/>
  <c r="C50" i="62" s="1"/>
  <c r="C53" i="63"/>
  <c r="R199" i="67"/>
  <c r="H35" i="67" s="1"/>
  <c r="AE195" i="67"/>
  <c r="AE172" i="67"/>
  <c r="R176" i="67"/>
  <c r="H33" i="67" s="1"/>
  <c r="K40" i="67"/>
  <c r="X36" i="67"/>
  <c r="D145" i="66"/>
  <c r="B163" i="66"/>
  <c r="O161" i="66" s="1"/>
  <c r="O148" i="66"/>
  <c r="B151" i="66"/>
  <c r="B152" i="66" s="1"/>
  <c r="C36" i="66" s="1"/>
  <c r="K40" i="66"/>
  <c r="X36" i="66"/>
  <c r="R199" i="66"/>
  <c r="H35" i="66" s="1"/>
  <c r="AE195" i="66"/>
  <c r="AE172" i="66"/>
  <c r="R176" i="66"/>
  <c r="H33" i="66" s="1"/>
  <c r="G139" i="65"/>
  <c r="C35" i="65" s="1"/>
  <c r="E63" i="65"/>
  <c r="F30" i="65"/>
  <c r="B150" i="65"/>
  <c r="D145" i="65"/>
  <c r="B163" i="65"/>
  <c r="D158" i="65"/>
  <c r="K40" i="65"/>
  <c r="X36" i="65"/>
  <c r="R199" i="65"/>
  <c r="H35" i="65" s="1"/>
  <c r="AE195" i="65"/>
  <c r="R176" i="65"/>
  <c r="H33" i="65" s="1"/>
  <c r="AE172" i="65"/>
  <c r="C50" i="64"/>
  <c r="C55" i="64" s="1"/>
  <c r="C60" i="64" s="1"/>
  <c r="C64" i="64" s="1"/>
  <c r="O135" i="64"/>
  <c r="E81" i="64"/>
  <c r="R136" i="64"/>
  <c r="K128" i="64"/>
  <c r="B147" i="64"/>
  <c r="B148" i="64" s="1"/>
  <c r="B149" i="64" s="1"/>
  <c r="B145" i="64"/>
  <c r="D145" i="64" s="1"/>
  <c r="B160" i="64"/>
  <c r="B161" i="64" s="1"/>
  <c r="B162" i="64" s="1"/>
  <c r="B158" i="64"/>
  <c r="D158" i="64" s="1"/>
  <c r="O80" i="64"/>
  <c r="R210" i="64"/>
  <c r="H36" i="64" s="1"/>
  <c r="AE206" i="64"/>
  <c r="M35" i="64"/>
  <c r="K37" i="64" s="1"/>
  <c r="K38" i="64" s="1"/>
  <c r="R188" i="64"/>
  <c r="H34" i="64" s="1"/>
  <c r="AE184" i="64"/>
  <c r="T171" i="64"/>
  <c r="R173" i="64" s="1"/>
  <c r="R174" i="64" s="1"/>
  <c r="T193" i="64"/>
  <c r="T194" i="64" s="1"/>
  <c r="R196" i="64" s="1"/>
  <c r="R197" i="64" s="1"/>
  <c r="V199" i="64"/>
  <c r="R198" i="64" s="1"/>
  <c r="B178" i="55"/>
  <c r="B131" i="63"/>
  <c r="B130" i="63"/>
  <c r="C79" i="63"/>
  <c r="B159" i="63"/>
  <c r="R130" i="63"/>
  <c r="B135" i="63"/>
  <c r="M80" i="63"/>
  <c r="C81" i="63" s="1"/>
  <c r="C68" i="63"/>
  <c r="C69" i="63" s="1"/>
  <c r="C71" i="63" s="1"/>
  <c r="C72" i="63" s="1"/>
  <c r="C73" i="63" s="1"/>
  <c r="R131" i="63"/>
  <c r="B90" i="63"/>
  <c r="B91" i="63" s="1"/>
  <c r="B92" i="63" s="1"/>
  <c r="C45" i="63"/>
  <c r="C46" i="63" s="1"/>
  <c r="C48" i="63" s="1"/>
  <c r="C49" i="63" s="1"/>
  <c r="C50" i="63" s="1"/>
  <c r="B134" i="63"/>
  <c r="B146" i="63"/>
  <c r="C80" i="63"/>
  <c r="M86" i="63"/>
  <c r="E88" i="63" s="1"/>
  <c r="M109" i="63"/>
  <c r="B157" i="63"/>
  <c r="B160" i="63" s="1"/>
  <c r="B144" i="63"/>
  <c r="T169" i="63"/>
  <c r="T170" i="63"/>
  <c r="R175" i="63" s="1"/>
  <c r="T182" i="63"/>
  <c r="T183" i="63" s="1"/>
  <c r="R185" i="63" s="1"/>
  <c r="R186" i="63" s="1"/>
  <c r="M33" i="63"/>
  <c r="M34" i="63"/>
  <c r="K39" i="63" s="1"/>
  <c r="T205" i="63"/>
  <c r="R207" i="63" s="1"/>
  <c r="R208" i="63" s="1"/>
  <c r="C180" i="63"/>
  <c r="F180" i="63" s="1"/>
  <c r="B112" i="63"/>
  <c r="B113" i="63" s="1"/>
  <c r="B114" i="63" s="1"/>
  <c r="C76" i="63"/>
  <c r="M98" i="63"/>
  <c r="T180" i="63"/>
  <c r="B101" i="63"/>
  <c r="B102" i="63" s="1"/>
  <c r="B103" i="63" s="1"/>
  <c r="B131" i="62"/>
  <c r="M109" i="62"/>
  <c r="E110" i="62" s="1"/>
  <c r="B115" i="62" s="1"/>
  <c r="R136" i="62"/>
  <c r="B157" i="62"/>
  <c r="B158" i="62" s="1"/>
  <c r="B130" i="62"/>
  <c r="B90" i="62"/>
  <c r="B91" i="62" s="1"/>
  <c r="B92" i="62" s="1"/>
  <c r="B159" i="62"/>
  <c r="B144" i="62"/>
  <c r="B147" i="62" s="1"/>
  <c r="R131" i="62"/>
  <c r="B135" i="62"/>
  <c r="B146" i="62"/>
  <c r="M80" i="62"/>
  <c r="C68" i="62"/>
  <c r="C69" i="62" s="1"/>
  <c r="C71" i="62" s="1"/>
  <c r="C72" i="62" s="1"/>
  <c r="C73" i="62" s="1"/>
  <c r="C180" i="62"/>
  <c r="F180" i="62" s="1"/>
  <c r="M33" i="62"/>
  <c r="M34" i="62"/>
  <c r="K39" i="62" s="1"/>
  <c r="T205" i="62"/>
  <c r="R207" i="62" s="1"/>
  <c r="R208" i="62" s="1"/>
  <c r="C76" i="62"/>
  <c r="M98" i="62"/>
  <c r="B134" i="62"/>
  <c r="B128" i="62"/>
  <c r="T169" i="62"/>
  <c r="T170" i="62"/>
  <c r="R175" i="62" s="1"/>
  <c r="T182" i="62"/>
  <c r="T183" i="62" s="1"/>
  <c r="R185" i="62" s="1"/>
  <c r="R186" i="62" s="1"/>
  <c r="T180" i="62"/>
  <c r="B112" i="62"/>
  <c r="B113" i="62" s="1"/>
  <c r="B114" i="62" s="1"/>
  <c r="B101" i="62"/>
  <c r="B102" i="62" s="1"/>
  <c r="B103" i="62" s="1"/>
  <c r="B144" i="61"/>
  <c r="B147" i="61" s="1"/>
  <c r="M98" i="61"/>
  <c r="E99" i="61" s="1"/>
  <c r="B104" i="61" s="1"/>
  <c r="B157" i="61"/>
  <c r="C45" i="61"/>
  <c r="C46" i="61" s="1"/>
  <c r="C48" i="61" s="1"/>
  <c r="C49" i="61" s="1"/>
  <c r="C68" i="61"/>
  <c r="C69" i="61" s="1"/>
  <c r="C71" i="61" s="1"/>
  <c r="C72" i="61" s="1"/>
  <c r="B146" i="61"/>
  <c r="B159" i="61"/>
  <c r="M86" i="61"/>
  <c r="E88" i="61" s="1"/>
  <c r="B90" i="61"/>
  <c r="B91" i="61" s="1"/>
  <c r="B92" i="61" s="1"/>
  <c r="C76" i="61"/>
  <c r="M33" i="61"/>
  <c r="M34" i="61"/>
  <c r="K39" i="61" s="1"/>
  <c r="T205" i="61"/>
  <c r="R207" i="61" s="1"/>
  <c r="R208" i="61" s="1"/>
  <c r="B101" i="61"/>
  <c r="B102" i="61" s="1"/>
  <c r="B103" i="61" s="1"/>
  <c r="B178" i="61"/>
  <c r="B134" i="61"/>
  <c r="B128" i="61"/>
  <c r="B135" i="61"/>
  <c r="M109" i="61"/>
  <c r="B130" i="61"/>
  <c r="T169" i="61"/>
  <c r="T182" i="61"/>
  <c r="T183" i="61" s="1"/>
  <c r="R185" i="61" s="1"/>
  <c r="R186" i="61" s="1"/>
  <c r="T170" i="61"/>
  <c r="R175" i="61" s="1"/>
  <c r="T180" i="61"/>
  <c r="B131" i="61"/>
  <c r="B174" i="61"/>
  <c r="B157" i="60"/>
  <c r="B135" i="60"/>
  <c r="B130" i="60"/>
  <c r="B136" i="60" s="1"/>
  <c r="B144" i="60"/>
  <c r="B147" i="60" s="1"/>
  <c r="C69" i="60"/>
  <c r="C71" i="60" s="1"/>
  <c r="C72" i="60" s="1"/>
  <c r="C45" i="60"/>
  <c r="C46" i="60" s="1"/>
  <c r="C48" i="60" s="1"/>
  <c r="C49" i="60" s="1"/>
  <c r="B146" i="60"/>
  <c r="B90" i="60"/>
  <c r="B91" i="60" s="1"/>
  <c r="B92" i="60" s="1"/>
  <c r="B134" i="60"/>
  <c r="M86" i="60"/>
  <c r="E88" i="60" s="1"/>
  <c r="M33" i="60"/>
  <c r="M34" i="60"/>
  <c r="K39" i="60" s="1"/>
  <c r="T205" i="60"/>
  <c r="R207" i="60" s="1"/>
  <c r="R208" i="60" s="1"/>
  <c r="B101" i="60"/>
  <c r="B102" i="60" s="1"/>
  <c r="B103" i="60" s="1"/>
  <c r="B178" i="60"/>
  <c r="B128" i="60"/>
  <c r="M98" i="60"/>
  <c r="M109" i="60"/>
  <c r="E110" i="60" s="1"/>
  <c r="B115" i="60" s="1"/>
  <c r="B116" i="60" s="1"/>
  <c r="C34" i="60" s="1"/>
  <c r="T169" i="60"/>
  <c r="T182" i="60"/>
  <c r="T183" i="60" s="1"/>
  <c r="R185" i="60" s="1"/>
  <c r="R186" i="60" s="1"/>
  <c r="T170" i="60"/>
  <c r="R175" i="60" s="1"/>
  <c r="T180" i="60"/>
  <c r="B131" i="60"/>
  <c r="B159" i="60"/>
  <c r="C76" i="60"/>
  <c r="B174" i="60"/>
  <c r="T205" i="59"/>
  <c r="R207" i="59" s="1"/>
  <c r="R208" i="59" s="1"/>
  <c r="T169" i="59"/>
  <c r="T170" i="59"/>
  <c r="R175" i="59" s="1"/>
  <c r="T182" i="59"/>
  <c r="T183" i="59" s="1"/>
  <c r="R185" i="59" s="1"/>
  <c r="R186" i="59" s="1"/>
  <c r="C81" i="59"/>
  <c r="C79" i="59"/>
  <c r="M78" i="59"/>
  <c r="M79" i="59" s="1"/>
  <c r="C80" i="59" s="1"/>
  <c r="B128" i="59"/>
  <c r="D130" i="59" s="1"/>
  <c r="F130" i="59" s="1"/>
  <c r="B134" i="59"/>
  <c r="C53" i="59"/>
  <c r="C76" i="59"/>
  <c r="M98" i="59"/>
  <c r="E99" i="59" s="1"/>
  <c r="B104" i="59" s="1"/>
  <c r="T180" i="59"/>
  <c r="M33" i="59"/>
  <c r="M34" i="59"/>
  <c r="K39" i="59" s="1"/>
  <c r="M65" i="59"/>
  <c r="M66" i="59" s="1"/>
  <c r="C62" i="59" s="1"/>
  <c r="C61" i="59"/>
  <c r="C63" i="59"/>
  <c r="C76" i="58"/>
  <c r="M33" i="58"/>
  <c r="M34" i="58"/>
  <c r="K39" i="58" s="1"/>
  <c r="T205" i="58"/>
  <c r="R207" i="58" s="1"/>
  <c r="R208" i="58" s="1"/>
  <c r="B134" i="58"/>
  <c r="B128" i="58"/>
  <c r="B146" i="58"/>
  <c r="M86" i="58"/>
  <c r="E88" i="58" s="1"/>
  <c r="B93" i="58" s="1"/>
  <c r="B94" i="58" s="1"/>
  <c r="C32" i="58" s="1"/>
  <c r="C180" i="58"/>
  <c r="F180" i="58" s="1"/>
  <c r="M98" i="58"/>
  <c r="E99" i="58" s="1"/>
  <c r="B104" i="58" s="1"/>
  <c r="B135" i="58"/>
  <c r="M109" i="58"/>
  <c r="E110" i="58" s="1"/>
  <c r="B115" i="58" s="1"/>
  <c r="B116" i="58" s="1"/>
  <c r="C34" i="58" s="1"/>
  <c r="C68" i="58"/>
  <c r="C69" i="58" s="1"/>
  <c r="C71" i="58" s="1"/>
  <c r="C72" i="58" s="1"/>
  <c r="B130" i="58"/>
  <c r="C45" i="58"/>
  <c r="C46" i="58" s="1"/>
  <c r="C48" i="58" s="1"/>
  <c r="C49" i="58" s="1"/>
  <c r="B144" i="58"/>
  <c r="B157" i="58"/>
  <c r="T169" i="58"/>
  <c r="T182" i="58"/>
  <c r="T183" i="58" s="1"/>
  <c r="R185" i="58" s="1"/>
  <c r="R186" i="58" s="1"/>
  <c r="T170" i="58"/>
  <c r="R175" i="58" s="1"/>
  <c r="T180" i="58"/>
  <c r="B131" i="58"/>
  <c r="B159" i="58"/>
  <c r="M34" i="51"/>
  <c r="B159" i="55"/>
  <c r="B174" i="55"/>
  <c r="M86" i="55"/>
  <c r="E88" i="55" s="1"/>
  <c r="B93" i="55" s="1"/>
  <c r="B157" i="55"/>
  <c r="B160" i="55" s="1"/>
  <c r="B130" i="55"/>
  <c r="B144" i="55"/>
  <c r="B131" i="55"/>
  <c r="C45" i="55"/>
  <c r="C46" i="55" s="1"/>
  <c r="C48" i="55" s="1"/>
  <c r="C49" i="55" s="1"/>
  <c r="C68" i="55"/>
  <c r="C69" i="55" s="1"/>
  <c r="C71" i="55" s="1"/>
  <c r="C72" i="55" s="1"/>
  <c r="C76" i="55"/>
  <c r="T205" i="55"/>
  <c r="R207" i="55" s="1"/>
  <c r="R208" i="55" s="1"/>
  <c r="R210" i="55" s="1"/>
  <c r="M98" i="55"/>
  <c r="B135" i="55"/>
  <c r="M109" i="55"/>
  <c r="E110" i="55" s="1"/>
  <c r="B115" i="55" s="1"/>
  <c r="B116" i="55" s="1"/>
  <c r="C34" i="55" s="1"/>
  <c r="T180" i="55"/>
  <c r="B146" i="55"/>
  <c r="B134" i="55"/>
  <c r="B128" i="55"/>
  <c r="C53" i="55"/>
  <c r="T169" i="55"/>
  <c r="T182" i="55"/>
  <c r="T183" i="55" s="1"/>
  <c r="R185" i="55" s="1"/>
  <c r="R186" i="55" s="1"/>
  <c r="T170" i="55"/>
  <c r="R175" i="55" s="1"/>
  <c r="M33" i="55"/>
  <c r="M34" i="55"/>
  <c r="K39" i="55" s="1"/>
  <c r="B101" i="55"/>
  <c r="B102" i="55" s="1"/>
  <c r="B103" i="55" s="1"/>
  <c r="B90" i="55"/>
  <c r="B91" i="55" s="1"/>
  <c r="B92" i="55" s="1"/>
  <c r="B90" i="53"/>
  <c r="B91" i="53" s="1"/>
  <c r="B92" i="53" s="1"/>
  <c r="B130" i="53"/>
  <c r="B136" i="53" s="1"/>
  <c r="B144" i="53"/>
  <c r="B157" i="53"/>
  <c r="C68" i="53"/>
  <c r="C69" i="53" s="1"/>
  <c r="C71" i="53" s="1"/>
  <c r="C72" i="53" s="1"/>
  <c r="C45" i="53"/>
  <c r="C46" i="53" s="1"/>
  <c r="C48" i="53" s="1"/>
  <c r="C49" i="53" s="1"/>
  <c r="B131" i="53"/>
  <c r="C76" i="53"/>
  <c r="C180" i="53"/>
  <c r="F180" i="53" s="1"/>
  <c r="B101" i="53"/>
  <c r="B102" i="53" s="1"/>
  <c r="B103" i="53" s="1"/>
  <c r="T169" i="53"/>
  <c r="T182" i="53"/>
  <c r="T183" i="53" s="1"/>
  <c r="R185" i="53" s="1"/>
  <c r="R186" i="53" s="1"/>
  <c r="T170" i="53"/>
  <c r="R175" i="53" s="1"/>
  <c r="M33" i="53"/>
  <c r="M34" i="53"/>
  <c r="K39" i="53" s="1"/>
  <c r="M98" i="53"/>
  <c r="E99" i="53" s="1"/>
  <c r="B104" i="53" s="1"/>
  <c r="B135" i="53"/>
  <c r="M109" i="53"/>
  <c r="E110" i="53" s="1"/>
  <c r="B115" i="53" s="1"/>
  <c r="B116" i="53" s="1"/>
  <c r="C34" i="53" s="1"/>
  <c r="T205" i="53"/>
  <c r="R207" i="53" s="1"/>
  <c r="R208" i="53" s="1"/>
  <c r="R210" i="53" s="1"/>
  <c r="B146" i="53"/>
  <c r="T180" i="53"/>
  <c r="B159" i="53"/>
  <c r="C53" i="53"/>
  <c r="B134" i="53"/>
  <c r="B128" i="53"/>
  <c r="M86" i="53"/>
  <c r="E88" i="53" s="1"/>
  <c r="B93" i="53" s="1"/>
  <c r="C76" i="51"/>
  <c r="T170" i="51"/>
  <c r="T182" i="51"/>
  <c r="T183" i="51" s="1"/>
  <c r="C180" i="51"/>
  <c r="F180" i="51" s="1"/>
  <c r="T169" i="51"/>
  <c r="B135" i="51"/>
  <c r="B157" i="51"/>
  <c r="B160" i="51" s="1"/>
  <c r="B146" i="51"/>
  <c r="B131" i="51"/>
  <c r="B134" i="51"/>
  <c r="B90" i="51"/>
  <c r="B91" i="51" s="1"/>
  <c r="B92" i="51" s="1"/>
  <c r="B130" i="51"/>
  <c r="B101" i="51"/>
  <c r="B102" i="51" s="1"/>
  <c r="B103" i="51" s="1"/>
  <c r="B109" i="51"/>
  <c r="B112" i="51" s="1"/>
  <c r="B113" i="51" s="1"/>
  <c r="B114" i="51" s="1"/>
  <c r="M86" i="51"/>
  <c r="C45" i="51"/>
  <c r="C46" i="51" s="1"/>
  <c r="C48" i="51" s="1"/>
  <c r="C49" i="51" s="1"/>
  <c r="C68" i="51"/>
  <c r="C69" i="51" s="1"/>
  <c r="C71" i="51" s="1"/>
  <c r="C72" i="51" s="1"/>
  <c r="T203" i="51"/>
  <c r="T204" i="51" s="1"/>
  <c r="R209" i="51" s="1"/>
  <c r="T180" i="51"/>
  <c r="M98" i="51"/>
  <c r="B144" i="51"/>
  <c r="B147" i="51" s="1"/>
  <c r="C53" i="51"/>
  <c r="O161" i="68" l="1"/>
  <c r="R137" i="64"/>
  <c r="R138" i="64" s="1"/>
  <c r="R139" i="64" s="1"/>
  <c r="G139" i="64" s="1"/>
  <c r="V126" i="61"/>
  <c r="V132" i="61" s="1"/>
  <c r="V126" i="55"/>
  <c r="V132" i="55" s="1"/>
  <c r="R135" i="63"/>
  <c r="V131" i="63"/>
  <c r="R134" i="63"/>
  <c r="V130" i="63"/>
  <c r="R135" i="61"/>
  <c r="V131" i="61"/>
  <c r="V126" i="63"/>
  <c r="V132" i="63" s="1"/>
  <c r="R134" i="61"/>
  <c r="V130" i="61"/>
  <c r="R134" i="55"/>
  <c r="V130" i="55"/>
  <c r="R135" i="55"/>
  <c r="R137" i="55" s="1"/>
  <c r="R138" i="55" s="1"/>
  <c r="R139" i="55" s="1"/>
  <c r="V131" i="55"/>
  <c r="O148" i="68"/>
  <c r="B94" i="59"/>
  <c r="C32" i="59" s="1"/>
  <c r="B145" i="59"/>
  <c r="B150" i="59" s="1"/>
  <c r="B161" i="59"/>
  <c r="B162" i="59" s="1"/>
  <c r="B116" i="67"/>
  <c r="C34" i="67" s="1"/>
  <c r="V133" i="64"/>
  <c r="V134" i="64" s="1"/>
  <c r="V135" i="64" s="1"/>
  <c r="B94" i="62"/>
  <c r="C32" i="62" s="1"/>
  <c r="R134" i="62"/>
  <c r="V130" i="62"/>
  <c r="R135" i="62"/>
  <c r="V131" i="62"/>
  <c r="B136" i="62"/>
  <c r="B137" i="62" s="1"/>
  <c r="B138" i="62" s="1"/>
  <c r="B139" i="62" s="1"/>
  <c r="V126" i="62"/>
  <c r="V132" i="62" s="1"/>
  <c r="D130" i="62"/>
  <c r="F130" i="62" s="1"/>
  <c r="B136" i="55"/>
  <c r="K137" i="55" s="1"/>
  <c r="C55" i="63"/>
  <c r="C50" i="59"/>
  <c r="C55" i="59" s="1"/>
  <c r="C60" i="59" s="1"/>
  <c r="C64" i="59" s="1"/>
  <c r="B116" i="59"/>
  <c r="C34" i="59" s="1"/>
  <c r="B158" i="59"/>
  <c r="D158" i="59" s="1"/>
  <c r="M35" i="51"/>
  <c r="K37" i="51" s="1"/>
  <c r="K38" i="51" s="1"/>
  <c r="K39" i="51"/>
  <c r="T193" i="51"/>
  <c r="T194" i="51" s="1"/>
  <c r="R196" i="51" s="1"/>
  <c r="R197" i="51" s="1"/>
  <c r="R175" i="51"/>
  <c r="B105" i="59"/>
  <c r="C33" i="59" s="1"/>
  <c r="C55" i="62"/>
  <c r="C59" i="62"/>
  <c r="B105" i="58"/>
  <c r="C33" i="58" s="1"/>
  <c r="C180" i="55"/>
  <c r="F180" i="55" s="1"/>
  <c r="C60" i="67"/>
  <c r="C64" i="67" s="1"/>
  <c r="B105" i="61"/>
  <c r="C33" i="61" s="1"/>
  <c r="K128" i="62"/>
  <c r="O67" i="59"/>
  <c r="C78" i="59"/>
  <c r="C82" i="59" s="1"/>
  <c r="B94" i="53"/>
  <c r="C32" i="53" s="1"/>
  <c r="B148" i="62"/>
  <c r="B149" i="62" s="1"/>
  <c r="B104" i="67"/>
  <c r="B105" i="67" s="1"/>
  <c r="C33" i="67" s="1"/>
  <c r="B137" i="67"/>
  <c r="B138" i="67" s="1"/>
  <c r="B139" i="67" s="1"/>
  <c r="G139" i="67" s="1"/>
  <c r="C35" i="67" s="1"/>
  <c r="O135" i="67"/>
  <c r="K137" i="67"/>
  <c r="K138" i="67" s="1"/>
  <c r="K139" i="67" s="1"/>
  <c r="D145" i="67"/>
  <c r="B150" i="67"/>
  <c r="D158" i="67"/>
  <c r="B163" i="67"/>
  <c r="E63" i="59"/>
  <c r="E81" i="59"/>
  <c r="B164" i="66"/>
  <c r="B165" i="66" s="1"/>
  <c r="C37" i="66" s="1"/>
  <c r="B164" i="65"/>
  <c r="B165" i="65" s="1"/>
  <c r="C37" i="65" s="1"/>
  <c r="O161" i="65"/>
  <c r="B151" i="65"/>
  <c r="B152" i="65" s="1"/>
  <c r="C36" i="65" s="1"/>
  <c r="O148" i="65"/>
  <c r="K137" i="64"/>
  <c r="K138" i="64" s="1"/>
  <c r="K139" i="64" s="1"/>
  <c r="B163" i="64"/>
  <c r="B150" i="64"/>
  <c r="R199" i="64"/>
  <c r="H35" i="64" s="1"/>
  <c r="AE195" i="64"/>
  <c r="R176" i="64"/>
  <c r="H33" i="64" s="1"/>
  <c r="AE172" i="64"/>
  <c r="K40" i="64"/>
  <c r="X36" i="64"/>
  <c r="B93" i="63"/>
  <c r="B94" i="63" s="1"/>
  <c r="C32" i="63" s="1"/>
  <c r="B158" i="63"/>
  <c r="D158" i="63" s="1"/>
  <c r="E81" i="63"/>
  <c r="O80" i="63"/>
  <c r="B136" i="63"/>
  <c r="D130" i="63"/>
  <c r="F130" i="63" s="1"/>
  <c r="C59" i="63"/>
  <c r="B145" i="63"/>
  <c r="D145" i="63" s="1"/>
  <c r="B147" i="63"/>
  <c r="B148" i="63" s="1"/>
  <c r="B149" i="63" s="1"/>
  <c r="R136" i="63"/>
  <c r="R137" i="63" s="1"/>
  <c r="R138" i="63" s="1"/>
  <c r="R139" i="63" s="1"/>
  <c r="K128" i="63"/>
  <c r="E99" i="63"/>
  <c r="B104" i="63" s="1"/>
  <c r="B105" i="63" s="1"/>
  <c r="C33" i="63" s="1"/>
  <c r="E110" i="63"/>
  <c r="B115" i="63" s="1"/>
  <c r="B116" i="63" s="1"/>
  <c r="C34" i="63" s="1"/>
  <c r="B161" i="63"/>
  <c r="B162" i="63" s="1"/>
  <c r="C78" i="63"/>
  <c r="C82" i="63" s="1"/>
  <c r="R210" i="63"/>
  <c r="H36" i="63" s="1"/>
  <c r="AE206" i="63"/>
  <c r="M35" i="63"/>
  <c r="K37" i="63" s="1"/>
  <c r="K38" i="63" s="1"/>
  <c r="R188" i="63"/>
  <c r="H34" i="63" s="1"/>
  <c r="AE184" i="63"/>
  <c r="T171" i="63"/>
  <c r="R173" i="63" s="1"/>
  <c r="R174" i="63" s="1"/>
  <c r="T193" i="63"/>
  <c r="T194" i="63" s="1"/>
  <c r="R196" i="63" s="1"/>
  <c r="R197" i="63" s="1"/>
  <c r="V199" i="63"/>
  <c r="R198" i="63" s="1"/>
  <c r="B116" i="62"/>
  <c r="C34" i="62" s="1"/>
  <c r="B160" i="62"/>
  <c r="B161" i="62" s="1"/>
  <c r="B162" i="62" s="1"/>
  <c r="B163" i="62" s="1"/>
  <c r="R137" i="62"/>
  <c r="R138" i="62" s="1"/>
  <c r="R139" i="62" s="1"/>
  <c r="B145" i="62"/>
  <c r="E99" i="62"/>
  <c r="B104" i="62" s="1"/>
  <c r="B105" i="62" s="1"/>
  <c r="C33" i="62" s="1"/>
  <c r="C81" i="62"/>
  <c r="O80" i="62"/>
  <c r="C78" i="62"/>
  <c r="C82" i="62" s="1"/>
  <c r="R188" i="62"/>
  <c r="H34" i="62" s="1"/>
  <c r="AE184" i="62"/>
  <c r="R210" i="62"/>
  <c r="AE206" i="62"/>
  <c r="M35" i="62"/>
  <c r="K37" i="62" s="1"/>
  <c r="K38" i="62" s="1"/>
  <c r="D158" i="62"/>
  <c r="T171" i="62"/>
  <c r="R173" i="62" s="1"/>
  <c r="R174" i="62" s="1"/>
  <c r="T193" i="62"/>
  <c r="T194" i="62" s="1"/>
  <c r="R196" i="62" s="1"/>
  <c r="R197" i="62" s="1"/>
  <c r="V199" i="62"/>
  <c r="R198" i="62" s="1"/>
  <c r="K128" i="61"/>
  <c r="E110" i="61"/>
  <c r="B115" i="61" s="1"/>
  <c r="B116" i="61" s="1"/>
  <c r="C34" i="61" s="1"/>
  <c r="B136" i="61"/>
  <c r="B93" i="61"/>
  <c r="B94" i="61" s="1"/>
  <c r="C32" i="61" s="1"/>
  <c r="R188" i="61"/>
  <c r="H34" i="61" s="1"/>
  <c r="AE184" i="61"/>
  <c r="T171" i="61"/>
  <c r="R173" i="61" s="1"/>
  <c r="R174" i="61" s="1"/>
  <c r="T193" i="61"/>
  <c r="T194" i="61" s="1"/>
  <c r="R196" i="61" s="1"/>
  <c r="R197" i="61" s="1"/>
  <c r="V199" i="61"/>
  <c r="R198" i="61" s="1"/>
  <c r="B158" i="61"/>
  <c r="B160" i="61"/>
  <c r="B161" i="61" s="1"/>
  <c r="B162" i="61" s="1"/>
  <c r="D130" i="61"/>
  <c r="F130" i="61" s="1"/>
  <c r="B145" i="61"/>
  <c r="B148" i="61"/>
  <c r="B149" i="61" s="1"/>
  <c r="C73" i="61"/>
  <c r="C78" i="61" s="1"/>
  <c r="C82" i="61" s="1"/>
  <c r="C50" i="61"/>
  <c r="C55" i="61" s="1"/>
  <c r="R210" i="61"/>
  <c r="H36" i="61" s="1"/>
  <c r="AE206" i="61"/>
  <c r="M35" i="61"/>
  <c r="K37" i="61" s="1"/>
  <c r="K38" i="61" s="1"/>
  <c r="R136" i="61"/>
  <c r="R137" i="61" s="1"/>
  <c r="R138" i="61" s="1"/>
  <c r="R139" i="61" s="1"/>
  <c r="C180" i="61"/>
  <c r="F180" i="61" s="1"/>
  <c r="B93" i="60"/>
  <c r="B94" i="60" s="1"/>
  <c r="C32" i="60" s="1"/>
  <c r="E99" i="60"/>
  <c r="B104" i="60" s="1"/>
  <c r="B105" i="60" s="1"/>
  <c r="C33" i="60" s="1"/>
  <c r="R188" i="60"/>
  <c r="H34" i="60" s="1"/>
  <c r="AE184" i="60"/>
  <c r="T171" i="60"/>
  <c r="R173" i="60" s="1"/>
  <c r="R174" i="60" s="1"/>
  <c r="T193" i="60"/>
  <c r="T194" i="60" s="1"/>
  <c r="R196" i="60" s="1"/>
  <c r="R197" i="60" s="1"/>
  <c r="V199" i="60"/>
  <c r="R198" i="60" s="1"/>
  <c r="B145" i="60"/>
  <c r="B148" i="60"/>
  <c r="B149" i="60" s="1"/>
  <c r="B158" i="60"/>
  <c r="B160" i="60"/>
  <c r="B161" i="60" s="1"/>
  <c r="B162" i="60" s="1"/>
  <c r="D130" i="60"/>
  <c r="F130" i="60" s="1"/>
  <c r="C59" i="60"/>
  <c r="C50" i="60"/>
  <c r="C55" i="60" s="1"/>
  <c r="C73" i="60"/>
  <c r="C78" i="60" s="1"/>
  <c r="C82" i="60" s="1"/>
  <c r="B137" i="60"/>
  <c r="B138" i="60" s="1"/>
  <c r="B139" i="60" s="1"/>
  <c r="C35" i="60" s="1"/>
  <c r="O135" i="60"/>
  <c r="R210" i="60"/>
  <c r="AE206" i="60"/>
  <c r="M35" i="60"/>
  <c r="K37" i="60" s="1"/>
  <c r="K38" i="60" s="1"/>
  <c r="C180" i="60"/>
  <c r="F180" i="60" s="1"/>
  <c r="F30" i="59"/>
  <c r="B137" i="59"/>
  <c r="B138" i="59" s="1"/>
  <c r="B139" i="59" s="1"/>
  <c r="C35" i="59" s="1"/>
  <c r="O135" i="59"/>
  <c r="F31" i="59"/>
  <c r="M35" i="59"/>
  <c r="K37" i="59" s="1"/>
  <c r="K38" i="59" s="1"/>
  <c r="R188" i="59"/>
  <c r="H34" i="59" s="1"/>
  <c r="AE184" i="59"/>
  <c r="T171" i="59"/>
  <c r="R173" i="59" s="1"/>
  <c r="R174" i="59" s="1"/>
  <c r="V199" i="59"/>
  <c r="R198" i="59" s="1"/>
  <c r="T193" i="59"/>
  <c r="T194" i="59" s="1"/>
  <c r="R196" i="59" s="1"/>
  <c r="R197" i="59" s="1"/>
  <c r="R210" i="59"/>
  <c r="H36" i="59" s="1"/>
  <c r="AE206" i="59"/>
  <c r="O80" i="59"/>
  <c r="R188" i="58"/>
  <c r="H34" i="58" s="1"/>
  <c r="AE184" i="58"/>
  <c r="T171" i="58"/>
  <c r="R173" i="58" s="1"/>
  <c r="R174" i="58" s="1"/>
  <c r="T193" i="58"/>
  <c r="T194" i="58" s="1"/>
  <c r="R196" i="58" s="1"/>
  <c r="R197" i="58" s="1"/>
  <c r="V199" i="58"/>
  <c r="R198" i="58" s="1"/>
  <c r="B145" i="58"/>
  <c r="B147" i="58"/>
  <c r="B148" i="58" s="1"/>
  <c r="B149" i="58" s="1"/>
  <c r="D130" i="58"/>
  <c r="F130" i="58" s="1"/>
  <c r="B158" i="58"/>
  <c r="B160" i="58"/>
  <c r="B161" i="58" s="1"/>
  <c r="B162" i="58" s="1"/>
  <c r="C59" i="58"/>
  <c r="C50" i="58"/>
  <c r="C55" i="58" s="1"/>
  <c r="C73" i="58"/>
  <c r="C78" i="58" s="1"/>
  <c r="C82" i="58" s="1"/>
  <c r="R210" i="58"/>
  <c r="H36" i="58" s="1"/>
  <c r="AE206" i="58"/>
  <c r="M35" i="58"/>
  <c r="K37" i="58" s="1"/>
  <c r="K38" i="58" s="1"/>
  <c r="B136" i="58"/>
  <c r="K128" i="55"/>
  <c r="E99" i="55"/>
  <c r="B104" i="55" s="1"/>
  <c r="B105" i="55" s="1"/>
  <c r="C33" i="55" s="1"/>
  <c r="M35" i="55"/>
  <c r="K37" i="55" s="1"/>
  <c r="K38" i="55" s="1"/>
  <c r="R188" i="55"/>
  <c r="H34" i="55" s="1"/>
  <c r="AE184" i="55"/>
  <c r="B158" i="55"/>
  <c r="C73" i="55"/>
  <c r="C78" i="55" s="1"/>
  <c r="C82" i="55" s="1"/>
  <c r="D130" i="55"/>
  <c r="F130" i="55" s="1"/>
  <c r="H36" i="55"/>
  <c r="AE206" i="55"/>
  <c r="T171" i="55"/>
  <c r="R173" i="55" s="1"/>
  <c r="R174" i="55" s="1"/>
  <c r="V199" i="55"/>
  <c r="R198" i="55" s="1"/>
  <c r="T193" i="55"/>
  <c r="T194" i="55" s="1"/>
  <c r="R196" i="55" s="1"/>
  <c r="R197" i="55" s="1"/>
  <c r="B145" i="55"/>
  <c r="B147" i="55"/>
  <c r="B148" i="55" s="1"/>
  <c r="B149" i="55" s="1"/>
  <c r="B94" i="55"/>
  <c r="C32" i="55" s="1"/>
  <c r="B161" i="55"/>
  <c r="B162" i="55" s="1"/>
  <c r="C59" i="55"/>
  <c r="C50" i="55"/>
  <c r="C55" i="55" s="1"/>
  <c r="B105" i="53"/>
  <c r="C33" i="53" s="1"/>
  <c r="B158" i="53"/>
  <c r="B160" i="53"/>
  <c r="B161" i="53" s="1"/>
  <c r="B162" i="53" s="1"/>
  <c r="D130" i="53"/>
  <c r="F130" i="53" s="1"/>
  <c r="M35" i="53"/>
  <c r="K37" i="53" s="1"/>
  <c r="K38" i="53" s="1"/>
  <c r="B145" i="53"/>
  <c r="B147" i="53"/>
  <c r="B148" i="53" s="1"/>
  <c r="B149" i="53" s="1"/>
  <c r="R188" i="53"/>
  <c r="H34" i="53" s="1"/>
  <c r="AE184" i="53"/>
  <c r="H36" i="53"/>
  <c r="AE206" i="53"/>
  <c r="C59" i="53"/>
  <c r="C50" i="53"/>
  <c r="C55" i="53" s="1"/>
  <c r="T171" i="53"/>
  <c r="R173" i="53" s="1"/>
  <c r="R174" i="53" s="1"/>
  <c r="V199" i="53"/>
  <c r="R198" i="53" s="1"/>
  <c r="T193" i="53"/>
  <c r="T194" i="53" s="1"/>
  <c r="R196" i="53" s="1"/>
  <c r="R197" i="53" s="1"/>
  <c r="B137" i="53"/>
  <c r="B138" i="53" s="1"/>
  <c r="B139" i="53" s="1"/>
  <c r="C35" i="53" s="1"/>
  <c r="O135" i="53"/>
  <c r="C73" i="53"/>
  <c r="C78" i="53" s="1"/>
  <c r="C82" i="53" s="1"/>
  <c r="T171" i="51"/>
  <c r="R173" i="51" s="1"/>
  <c r="R174" i="51" s="1"/>
  <c r="V199" i="51"/>
  <c r="R198" i="51" s="1"/>
  <c r="B136" i="51"/>
  <c r="B137" i="51" s="1"/>
  <c r="C50" i="51"/>
  <c r="C55" i="51" s="1"/>
  <c r="E99" i="51"/>
  <c r="B104" i="51" s="1"/>
  <c r="B105" i="51" s="1"/>
  <c r="C33" i="51" s="1"/>
  <c r="E88" i="51"/>
  <c r="B93" i="51" s="1"/>
  <c r="B94" i="51" s="1"/>
  <c r="C32" i="51" s="1"/>
  <c r="M109" i="51"/>
  <c r="E110" i="51" s="1"/>
  <c r="B115" i="51" s="1"/>
  <c r="B116" i="51" s="1"/>
  <c r="C34" i="51" s="1"/>
  <c r="D130" i="51"/>
  <c r="F130" i="51" s="1"/>
  <c r="T205" i="51"/>
  <c r="R207" i="51" s="1"/>
  <c r="R208" i="51" s="1"/>
  <c r="B158" i="51"/>
  <c r="D158" i="51" s="1"/>
  <c r="B161" i="51"/>
  <c r="B162" i="51" s="1"/>
  <c r="R185" i="51"/>
  <c r="R186" i="51" s="1"/>
  <c r="B145" i="51"/>
  <c r="D145" i="51" s="1"/>
  <c r="B148" i="51"/>
  <c r="B149" i="51" s="1"/>
  <c r="C73" i="51"/>
  <c r="C78" i="51" s="1"/>
  <c r="C82" i="51" s="1"/>
  <c r="D145" i="59" l="1"/>
  <c r="V133" i="63"/>
  <c r="V134" i="63" s="1"/>
  <c r="V135" i="63" s="1"/>
  <c r="G139" i="62"/>
  <c r="V133" i="61"/>
  <c r="V134" i="61" s="1"/>
  <c r="V135" i="61" s="1"/>
  <c r="V133" i="55"/>
  <c r="V134" i="55" s="1"/>
  <c r="V135" i="55" s="1"/>
  <c r="C60" i="63"/>
  <c r="C64" i="63" s="1"/>
  <c r="V133" i="62"/>
  <c r="V134" i="62" s="1"/>
  <c r="V135" i="62" s="1"/>
  <c r="C35" i="62" s="1"/>
  <c r="O135" i="62"/>
  <c r="O135" i="55"/>
  <c r="B137" i="55"/>
  <c r="B138" i="55" s="1"/>
  <c r="B139" i="55" s="1"/>
  <c r="G139" i="55" s="1"/>
  <c r="C35" i="55" s="1"/>
  <c r="X36" i="51"/>
  <c r="B163" i="59"/>
  <c r="O161" i="59" s="1"/>
  <c r="K138" i="55"/>
  <c r="K139" i="55" s="1"/>
  <c r="C60" i="62"/>
  <c r="C64" i="62" s="1"/>
  <c r="B150" i="62"/>
  <c r="O148" i="62" s="1"/>
  <c r="K40" i="51"/>
  <c r="B163" i="63"/>
  <c r="O161" i="63" s="1"/>
  <c r="B164" i="67"/>
  <c r="B165" i="67" s="1"/>
  <c r="C37" i="67" s="1"/>
  <c r="O161" i="67"/>
  <c r="O148" i="67"/>
  <c r="B151" i="67"/>
  <c r="B152" i="67" s="1"/>
  <c r="C36" i="67" s="1"/>
  <c r="B164" i="64"/>
  <c r="B165" i="64" s="1"/>
  <c r="C37" i="64" s="1"/>
  <c r="O161" i="64"/>
  <c r="O148" i="64"/>
  <c r="B151" i="64"/>
  <c r="B152" i="64" s="1"/>
  <c r="C36" i="64" s="1"/>
  <c r="B137" i="63"/>
  <c r="B138" i="63" s="1"/>
  <c r="B139" i="63" s="1"/>
  <c r="G139" i="63" s="1"/>
  <c r="C35" i="63" s="1"/>
  <c r="O135" i="63"/>
  <c r="B150" i="63"/>
  <c r="O148" i="63" s="1"/>
  <c r="R176" i="63"/>
  <c r="H33" i="63" s="1"/>
  <c r="AE172" i="63"/>
  <c r="R199" i="63"/>
  <c r="H35" i="63" s="1"/>
  <c r="AE195" i="63"/>
  <c r="K40" i="63"/>
  <c r="X36" i="63"/>
  <c r="D145" i="62"/>
  <c r="E81" i="62"/>
  <c r="F31" i="62"/>
  <c r="R176" i="62"/>
  <c r="H33" i="62" s="1"/>
  <c r="AE172" i="62"/>
  <c r="R199" i="62"/>
  <c r="H35" i="62" s="1"/>
  <c r="AE195" i="62"/>
  <c r="O161" i="62"/>
  <c r="B164" i="62"/>
  <c r="B165" i="62" s="1"/>
  <c r="C37" i="62" s="1"/>
  <c r="K40" i="62"/>
  <c r="X36" i="62"/>
  <c r="B137" i="61"/>
  <c r="B138" i="61" s="1"/>
  <c r="B139" i="61" s="1"/>
  <c r="G139" i="61" s="1"/>
  <c r="C35" i="61" s="1"/>
  <c r="O135" i="61"/>
  <c r="B163" i="61"/>
  <c r="D158" i="61"/>
  <c r="R199" i="61"/>
  <c r="H35" i="61" s="1"/>
  <c r="AE195" i="61"/>
  <c r="K40" i="61"/>
  <c r="X36" i="61"/>
  <c r="B150" i="61"/>
  <c r="D145" i="61"/>
  <c r="R176" i="61"/>
  <c r="H33" i="61" s="1"/>
  <c r="AE172" i="61"/>
  <c r="K40" i="60"/>
  <c r="X36" i="60"/>
  <c r="B163" i="60"/>
  <c r="D158" i="60"/>
  <c r="B150" i="60"/>
  <c r="D145" i="60"/>
  <c r="R199" i="60"/>
  <c r="AE195" i="60"/>
  <c r="C60" i="60"/>
  <c r="C64" i="60" s="1"/>
  <c r="R176" i="60"/>
  <c r="H33" i="60" s="1"/>
  <c r="AE172" i="60"/>
  <c r="R176" i="59"/>
  <c r="H33" i="59" s="1"/>
  <c r="AE172" i="59"/>
  <c r="B151" i="59"/>
  <c r="B152" i="59" s="1"/>
  <c r="C36" i="59" s="1"/>
  <c r="O148" i="59"/>
  <c r="K40" i="59"/>
  <c r="X36" i="59"/>
  <c r="R199" i="59"/>
  <c r="H35" i="59" s="1"/>
  <c r="AE195" i="59"/>
  <c r="B137" i="58"/>
  <c r="B138" i="58" s="1"/>
  <c r="B139" i="58" s="1"/>
  <c r="C35" i="58" s="1"/>
  <c r="O135" i="58"/>
  <c r="K40" i="58"/>
  <c r="X36" i="58"/>
  <c r="B163" i="58"/>
  <c r="D158" i="58"/>
  <c r="B150" i="58"/>
  <c r="D145" i="58"/>
  <c r="R199" i="58"/>
  <c r="H35" i="58" s="1"/>
  <c r="AE195" i="58"/>
  <c r="C60" i="58"/>
  <c r="C64" i="58" s="1"/>
  <c r="R176" i="58"/>
  <c r="H33" i="58" s="1"/>
  <c r="AE172" i="58"/>
  <c r="B150" i="55"/>
  <c r="D145" i="55"/>
  <c r="B163" i="55"/>
  <c r="D158" i="55"/>
  <c r="R199" i="55"/>
  <c r="H35" i="55" s="1"/>
  <c r="AE195" i="55"/>
  <c r="K40" i="55"/>
  <c r="X36" i="55"/>
  <c r="C60" i="55"/>
  <c r="C64" i="55" s="1"/>
  <c r="AE172" i="55"/>
  <c r="R176" i="55"/>
  <c r="H33" i="55" s="1"/>
  <c r="AE172" i="53"/>
  <c r="R176" i="53"/>
  <c r="H33" i="53" s="1"/>
  <c r="B150" i="53"/>
  <c r="D145" i="53"/>
  <c r="R199" i="53"/>
  <c r="H35" i="53" s="1"/>
  <c r="AE195" i="53"/>
  <c r="B163" i="53"/>
  <c r="O161" i="53" s="1"/>
  <c r="D158" i="53"/>
  <c r="C60" i="53"/>
  <c r="C64" i="53" s="1"/>
  <c r="K40" i="53"/>
  <c r="X36" i="53"/>
  <c r="R199" i="51"/>
  <c r="H35" i="51" s="1"/>
  <c r="AE195" i="51"/>
  <c r="R188" i="51"/>
  <c r="H34" i="51" s="1"/>
  <c r="AE184" i="51"/>
  <c r="B138" i="51"/>
  <c r="B139" i="51" s="1"/>
  <c r="C35" i="51" s="1"/>
  <c r="O135" i="51"/>
  <c r="R176" i="51"/>
  <c r="H33" i="51" s="1"/>
  <c r="AE172" i="51"/>
  <c r="R210" i="51"/>
  <c r="H36" i="51" s="1"/>
  <c r="AE206" i="51"/>
  <c r="B163" i="51"/>
  <c r="B150" i="51"/>
  <c r="B164" i="59" l="1"/>
  <c r="B165" i="59" s="1"/>
  <c r="C37" i="59" s="1"/>
  <c r="B164" i="63"/>
  <c r="B165" i="63" s="1"/>
  <c r="C37" i="63" s="1"/>
  <c r="B151" i="62"/>
  <c r="B152" i="62" s="1"/>
  <c r="C36" i="62" s="1"/>
  <c r="B151" i="63"/>
  <c r="B152" i="63" s="1"/>
  <c r="C36" i="63" s="1"/>
  <c r="O148" i="61"/>
  <c r="B151" i="61"/>
  <c r="B152" i="61" s="1"/>
  <c r="C36" i="61" s="1"/>
  <c r="O161" i="61"/>
  <c r="B164" i="61"/>
  <c r="B165" i="61" s="1"/>
  <c r="C37" i="61" s="1"/>
  <c r="O148" i="60"/>
  <c r="B151" i="60"/>
  <c r="B152" i="60" s="1"/>
  <c r="C36" i="60" s="1"/>
  <c r="O161" i="60"/>
  <c r="B164" i="60"/>
  <c r="B165" i="60" s="1"/>
  <c r="C37" i="60" s="1"/>
  <c r="O148" i="58"/>
  <c r="B151" i="58"/>
  <c r="B152" i="58" s="1"/>
  <c r="C36" i="58" s="1"/>
  <c r="O161" i="58"/>
  <c r="B164" i="58"/>
  <c r="B165" i="58" s="1"/>
  <c r="C37" i="58" s="1"/>
  <c r="B164" i="51"/>
  <c r="B165" i="51" s="1"/>
  <c r="C37" i="51" s="1"/>
  <c r="O161" i="51"/>
  <c r="B151" i="55"/>
  <c r="B152" i="55" s="1"/>
  <c r="C36" i="55" s="1"/>
  <c r="O148" i="55"/>
  <c r="B164" i="55"/>
  <c r="B165" i="55" s="1"/>
  <c r="C37" i="55" s="1"/>
  <c r="O161" i="55"/>
  <c r="B164" i="53"/>
  <c r="B165" i="53" s="1"/>
  <c r="C37" i="53" s="1"/>
  <c r="B151" i="53"/>
  <c r="B152" i="53" s="1"/>
  <c r="C36" i="53" s="1"/>
  <c r="O148" i="53"/>
  <c r="O148" i="51"/>
  <c r="B151" i="51"/>
  <c r="B152" i="51" s="1"/>
  <c r="C36" i="51" s="1"/>
  <c r="B115" i="75" l="1"/>
  <c r="B116" i="75" s="1"/>
  <c r="C34" i="75" s="1"/>
</calcChain>
</file>

<file path=xl/comments1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10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perpindicular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4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5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7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twmays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</text>
    </comment>
  </commentList>
</comments>
</file>

<file path=xl/comments9.xml><?xml version="1.0" encoding="utf-8"?>
<comments xmlns="http://schemas.openxmlformats.org/spreadsheetml/2006/main">
  <authors>
    <author>twmays</author>
    <author>Tim</author>
  </authors>
  <commentList>
    <comment ref="C11" authorId="0">
      <text>
        <r>
          <rPr>
            <b/>
            <sz val="9"/>
            <color indexed="81"/>
            <rFont val="Tahoma"/>
            <family val="2"/>
          </rPr>
          <t>Note: CRSI recommends a minimum offset of 3 inches.  Designers may select a larger offset to increase the moment demand under the column or the effect of shear (i.e., reduce shear strength)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>Note: CRSI recommends a minimum clear cover from the top of the pile to the first layer of structural steel to be set at 3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Note:
P=Pile Capacity (tons)          E (in.)
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60                                    15
60&lt;P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120                            21
120&lt;P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200                          27
200&lt;P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280                          30
280&lt;P</t>
        </r>
        <r>
          <rPr>
            <b/>
            <sz val="9"/>
            <color indexed="81"/>
            <rFont val="Symbol"/>
            <family val="1"/>
            <charset val="2"/>
          </rPr>
          <t>£</t>
        </r>
        <r>
          <rPr>
            <b/>
            <sz val="9"/>
            <color indexed="81"/>
            <rFont val="Tahoma"/>
            <family val="2"/>
          </rPr>
          <t>400                          36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Note: Designer should use a total pile cap depth D greater than or equal to the minimum recommended value in the cell above.  This value is acceptable so long as all design checks are "ok".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Note: Short bars are assumed to be placed on top of the long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Note: Long bars are assumed to be placed on the bottom and support the short bars.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Note: The d value used for the shear checks is taken as the pile embedment depth + the clear cover over the top of pile + 1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0">
      <text>
        <r>
          <rPr>
            <b/>
            <sz val="9"/>
            <color indexed="81"/>
            <rFont val="Tahoma"/>
            <family val="2"/>
          </rPr>
          <t>Note:
Based on 0.7 times standard ACI calculated value.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39" authorId="1">
      <text>
        <r>
          <rPr>
            <b/>
            <sz val="9"/>
            <color indexed="81"/>
            <rFont val="Tahoma"/>
            <family val="2"/>
          </rPr>
          <t>Note:
This value includes interaction from closest pile in perpendicular direction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<sst xmlns="http://schemas.openxmlformats.org/spreadsheetml/2006/main" count="14028" uniqueCount="455">
  <si>
    <t>in.</t>
  </si>
  <si>
    <t>d=</t>
  </si>
  <si>
    <r>
      <t>b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=</t>
    </r>
  </si>
  <si>
    <r>
      <t>4(f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=</t>
    </r>
  </si>
  <si>
    <r>
      <t>32(f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=</t>
    </r>
  </si>
  <si>
    <t>psi</t>
  </si>
  <si>
    <t>k=</t>
  </si>
  <si>
    <r>
      <t>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</si>
  <si>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t>k</t>
  </si>
  <si>
    <t>based on k=2(d/w)(1+d/c) acting at column face</t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</si>
  <si>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=k(f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d acting at column face</t>
    </r>
  </si>
  <si>
    <r>
      <t>b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</si>
  <si>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Symbol"/>
        <family val="1"/>
        <charset val="2"/>
      </rPr>
      <t>f</t>
    </r>
    <r>
      <rPr>
        <sz val="11"/>
        <color theme="1"/>
        <rFont val="Calibri"/>
        <family val="2"/>
        <scheme val="minor"/>
      </rPr>
      <t>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</si>
  <si>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r>
      <t>V</t>
    </r>
    <r>
      <rPr>
        <vertAlign val="subscript"/>
        <sz val="11"/>
        <color theme="1"/>
        <rFont val="Calibri"/>
        <family val="2"/>
        <scheme val="minor"/>
      </rPr>
      <t>u</t>
    </r>
  </si>
  <si>
    <r>
      <t>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Symbol"/>
        <family val="1"/>
        <charset val="2"/>
      </rPr>
      <t>/f</t>
    </r>
    <r>
      <rPr>
        <sz val="11"/>
        <color theme="1"/>
        <rFont val="Calibri"/>
        <family val="2"/>
        <scheme val="minor"/>
      </rPr>
      <t>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</si>
  <si>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=4(f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d acting at d/2 from column face</t>
    </r>
  </si>
  <si>
    <r>
      <t>w</t>
    </r>
    <r>
      <rPr>
        <vertAlign val="subscript"/>
        <sz val="11"/>
        <color theme="1"/>
        <rFont val="Calibri"/>
        <family val="2"/>
        <scheme val="minor"/>
      </rPr>
      <t>actual</t>
    </r>
  </si>
  <si>
    <t>d/2</t>
  </si>
  <si>
    <t>kips</t>
  </si>
  <si>
    <t>tons</t>
  </si>
  <si>
    <t>inches</t>
  </si>
  <si>
    <t>ksi</t>
  </si>
  <si>
    <t>Minimum Column Dimension c=</t>
  </si>
  <si>
    <r>
      <t>Net Column Capacity P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=</t>
    </r>
  </si>
  <si>
    <t>Rounded Dimension c=</t>
  </si>
  <si>
    <t>Required Flexural Reinforcement - Short Bars</t>
  </si>
  <si>
    <r>
      <t>M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=</t>
    </r>
  </si>
  <si>
    <t>k-in.</t>
  </si>
  <si>
    <t>k-in./ft</t>
  </si>
  <si>
    <t>1 ft strip design</t>
  </si>
  <si>
    <r>
      <t>in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/ft</t>
    </r>
  </si>
  <si>
    <t>Bar No.</t>
  </si>
  <si>
    <t>Diameter (in.)</t>
  </si>
  <si>
    <r>
      <t>Area (in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</si>
  <si>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Short Bar Diameter</t>
  </si>
  <si>
    <r>
      <t>in</t>
    </r>
    <r>
      <rPr>
        <vertAlign val="superscript"/>
        <sz val="11"/>
        <color theme="1"/>
        <rFont val="Calibri"/>
        <family val="2"/>
        <scheme val="minor"/>
      </rPr>
      <t>2</t>
    </r>
  </si>
  <si>
    <t>Short Bar Area</t>
  </si>
  <si>
    <t>Long Bar Diameter</t>
  </si>
  <si>
    <t>Long Bar Area</t>
  </si>
  <si>
    <r>
      <t>A</t>
    </r>
    <r>
      <rPr>
        <vertAlign val="subscript"/>
        <sz val="11"/>
        <color theme="1"/>
        <rFont val="Calibri"/>
        <family val="2"/>
        <scheme val="minor"/>
      </rPr>
      <t>s,required,structural,total</t>
    </r>
    <r>
      <rPr>
        <sz val="11"/>
        <color theme="1"/>
        <rFont val="Calibri"/>
        <family val="2"/>
        <scheme val="minor"/>
      </rPr>
      <t>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</si>
  <si>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s,required,structural,per ft</t>
    </r>
    <r>
      <rPr>
        <sz val="11"/>
        <color theme="1"/>
        <rFont val="Calibri"/>
        <family val="2"/>
        <scheme val="minor"/>
      </rPr>
      <t>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</si>
  <si>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s,required</t>
    </r>
    <r>
      <rPr>
        <sz val="11"/>
        <color theme="1"/>
        <rFont val="Calibri"/>
        <family val="2"/>
        <scheme val="minor"/>
      </rPr>
      <t>=</t>
    </r>
  </si>
  <si>
    <t>Increase the calculated area of steel to maintain uniform spacing (ACI 15.4.4)</t>
  </si>
  <si>
    <r>
      <t>(4/3)A</t>
    </r>
    <r>
      <rPr>
        <vertAlign val="subscript"/>
        <sz val="11"/>
        <color theme="1"/>
        <rFont val="Calibri"/>
        <family val="2"/>
        <scheme val="minor"/>
      </rPr>
      <t>s,required,structural,total</t>
    </r>
    <r>
      <rPr>
        <sz val="11"/>
        <color theme="1"/>
        <rFont val="Calibri"/>
        <family val="2"/>
        <scheme val="minor"/>
      </rPr>
      <t>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</si>
  <si>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s,min,1 or 2, controlling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</si>
  <si>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Symbol"/>
        <family val="1"/>
        <charset val="2"/>
      </rPr>
      <t>b</t>
    </r>
    <r>
      <rPr>
        <sz val="11"/>
        <color theme="1"/>
        <rFont val="Calibri"/>
        <family val="2"/>
      </rPr>
      <t>=A/B=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</si>
  <si>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s,required,structural,total,modfied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</si>
  <si>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Symbol"/>
        <family val="1"/>
        <charset val="2"/>
      </rPr>
      <t>g</t>
    </r>
    <r>
      <rPr>
        <vertAlign val="subscript"/>
        <sz val="11"/>
        <color theme="1"/>
        <rFont val="Calibri"/>
        <family val="2"/>
      </rPr>
      <t>s</t>
    </r>
    <r>
      <rPr>
        <sz val="11"/>
        <color theme="1"/>
        <rFont val="Calibri"/>
        <family val="2"/>
      </rPr>
      <t>=</t>
    </r>
  </si>
  <si>
    <r>
      <rPr>
        <sz val="11"/>
        <color theme="1"/>
        <rFont val="MT Extra"/>
        <family val="1"/>
        <charset val="2"/>
      </rPr>
      <t>l</t>
    </r>
    <r>
      <rPr>
        <vertAlign val="subscript"/>
        <sz val="11"/>
        <color theme="1"/>
        <rFont val="Calibri"/>
        <family val="2"/>
        <scheme val="minor"/>
      </rPr>
      <t>dh</t>
    </r>
    <r>
      <rPr>
        <sz val="11"/>
        <color theme="1"/>
        <rFont val="Calibri"/>
        <family val="2"/>
        <scheme val="minor"/>
      </rPr>
      <t>=</t>
    </r>
  </si>
  <si>
    <t>Required Flexural Reinforcement - Long Bars</t>
  </si>
  <si>
    <t>Use 1.0 for no epoxy coating</t>
  </si>
  <si>
    <r>
      <rPr>
        <sz val="11"/>
        <color theme="1"/>
        <rFont val="Symbol"/>
        <family val="1"/>
        <charset val="2"/>
      </rPr>
      <t>y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>=</t>
    </r>
  </si>
  <si>
    <t>Available for hook as past pile edge</t>
  </si>
  <si>
    <t>Based on previous CRSI assumed average bar diameter of 1.0 in.</t>
  </si>
  <si>
    <t>d/2=</t>
  </si>
  <si>
    <t>distance from column center to d/2=</t>
  </si>
  <si>
    <t>distance from center of column to adjacent pile centers (above)=</t>
  </si>
  <si>
    <t>distance from center of column to adjacent pile centers (beside)=</t>
  </si>
  <si>
    <r>
      <t>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=</t>
    </r>
  </si>
  <si>
    <t>distance from column center to d=</t>
  </si>
  <si>
    <t>distance from center of column to left or right most pile centers =</t>
  </si>
  <si>
    <r>
      <t>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=</t>
    </r>
  </si>
  <si>
    <t>bd=</t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</si>
  <si>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d acting at d from column face</t>
    </r>
  </si>
  <si>
    <t>w'=</t>
  </si>
  <si>
    <t>w'/d=</t>
  </si>
  <si>
    <r>
      <t>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d/M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=</t>
    </r>
  </si>
  <si>
    <r>
      <t>M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/(V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d)</t>
    </r>
    <r>
      <rPr>
        <vertAlign val="subscript"/>
        <sz val="11"/>
        <color theme="1"/>
        <rFont val="Calibri"/>
        <family val="2"/>
        <scheme val="minor"/>
      </rPr>
      <t>=</t>
    </r>
  </si>
  <si>
    <t>Quantities of Concrete and Reinforcing Bars</t>
  </si>
  <si>
    <t>Concrete Summary:</t>
  </si>
  <si>
    <t>Short Steel Bar Summary:</t>
  </si>
  <si>
    <t xml:space="preserve">Total </t>
  </si>
  <si>
    <t>Bars</t>
  </si>
  <si>
    <t>of length</t>
  </si>
  <si>
    <t>ft (per bar)</t>
  </si>
  <si>
    <t>Hooks</t>
  </si>
  <si>
    <t xml:space="preserve">Weight = </t>
  </si>
  <si>
    <t>Long Steel Bar Summary:</t>
  </si>
  <si>
    <t>lbs</t>
  </si>
  <si>
    <t xml:space="preserve">or </t>
  </si>
  <si>
    <t>Check two way shear at a distance d/2 from column - CRSI LIMIT STATE 1 -</t>
  </si>
  <si>
    <t>distance from center of column to top or bottom most pile centers =</t>
  </si>
  <si>
    <t>Check two way shear at column face - CRSI LIMIT STATE 4 -</t>
  </si>
  <si>
    <t>Limit State Allowable</t>
  </si>
  <si>
    <t>Check two way shear at a distance d/2 from PILE - CRSI LIMIT STATE IN -</t>
  </si>
  <si>
    <t>Area in shear</t>
  </si>
  <si>
    <t>Actual Stress</t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</si>
  <si>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=4(f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d acting at d/2 from pile face</t>
    </r>
  </si>
  <si>
    <t>Check two way shear at a distance d/2 from PILE - CRSI LIMIT STATE EX -</t>
  </si>
  <si>
    <t>Check two way shear at a distance d/2 from PILE - CRSI LIMIT STATE IN (2 PILES) -</t>
  </si>
  <si>
    <r>
      <t>d</t>
    </r>
    <r>
      <rPr>
        <vertAlign val="subscript"/>
        <sz val="11"/>
        <color theme="1"/>
        <rFont val="Calibri"/>
        <family val="2"/>
        <scheme val="minor"/>
      </rPr>
      <t>critical</t>
    </r>
    <r>
      <rPr>
        <sz val="11"/>
        <color theme="1"/>
        <rFont val="Calibri"/>
        <family val="2"/>
        <scheme val="minor"/>
      </rPr>
      <t>=</t>
    </r>
  </si>
  <si>
    <t>Used to locate diagonal line clear from pile</t>
  </si>
  <si>
    <t xml:space="preserve">diagonal = </t>
  </si>
  <si>
    <r>
      <t>based on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0.5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d acting at d from pile face</t>
    </r>
  </si>
  <si>
    <r>
      <t>Check one way shear at a distance d</t>
    </r>
    <r>
      <rPr>
        <b/>
        <vertAlign val="subscript"/>
        <sz val="14"/>
        <color theme="1"/>
        <rFont val="Calibri"/>
        <family val="2"/>
        <scheme val="minor"/>
      </rPr>
      <t>critical</t>
    </r>
    <r>
      <rPr>
        <b/>
        <sz val="14"/>
        <color theme="1"/>
        <rFont val="Calibri"/>
        <family val="2"/>
        <scheme val="minor"/>
      </rPr>
      <t xml:space="preserve"> from PILE - CRSI LIMIT STATE BM -</t>
    </r>
  </si>
  <si>
    <t>Job Name:</t>
  </si>
  <si>
    <t>Subject:</t>
  </si>
  <si>
    <t>Job Number:</t>
  </si>
  <si>
    <t>Originator:</t>
  </si>
  <si>
    <t>Checker:</t>
  </si>
  <si>
    <t>for Vertical Loading</t>
  </si>
  <si>
    <t>Input:</t>
  </si>
  <si>
    <t>Concrete</t>
  </si>
  <si>
    <t>Steel</t>
  </si>
  <si>
    <t>Wood</t>
  </si>
  <si>
    <t>2 PILE CAP (Traditional CRSI Approach)</t>
  </si>
  <si>
    <t>Results:</t>
  </si>
  <si>
    <t>Column Size Determination</t>
  </si>
  <si>
    <t>Round</t>
  </si>
  <si>
    <t>Square</t>
  </si>
  <si>
    <t>Steel pile embedment=</t>
  </si>
  <si>
    <r>
      <t>Minimum Pile Dimension d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=</t>
    </r>
  </si>
  <si>
    <t>Pile Depth Recommendation Calculations:</t>
  </si>
  <si>
    <t>Design Checks:</t>
  </si>
  <si>
    <t>Diameter for punching shear</t>
  </si>
  <si>
    <t>Equivalent Pile Diameter</t>
  </si>
  <si>
    <t>If given pile is square</t>
  </si>
  <si>
    <r>
      <t>(reduced by 1.6 x pile cap wt., column f'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= 4 ksi)</t>
    </r>
  </si>
  <si>
    <t>Total moment on pile cap with offset</t>
  </si>
  <si>
    <t>% steel concentrated of width B of long side A</t>
  </si>
  <si>
    <t>(w/offset)</t>
  </si>
  <si>
    <t>Check deep beam (one way shear through short width) at a distance</t>
  </si>
  <si>
    <t>d from column face - CRSI LIMIT STATE 2 -</t>
  </si>
  <si>
    <t>Short bar size small enough to develop hooks?</t>
  </si>
  <si>
    <t>Long bar size small enough to develop hooks?</t>
  </si>
  <si>
    <t>CRSI Limit State 1 Adequate?</t>
  </si>
  <si>
    <t>CRSI Limit State 2 Adequate?</t>
  </si>
  <si>
    <t>CRSI Limit State 3 Adequate?</t>
  </si>
  <si>
    <t>CRSI Limit State 4 Adequate?</t>
  </si>
  <si>
    <t>CRSI Limit State 5 Adequate?</t>
  </si>
  <si>
    <t>CRSI Limit State 6 Adequate?</t>
  </si>
  <si>
    <t>Not applicable to this pilecap configuration</t>
  </si>
  <si>
    <t>reduced by weight of concrete outside of critical section</t>
  </si>
  <si>
    <t>(only applies when w/d&lt;1.0) - CRSI LIMIT STATE 5 -</t>
  </si>
  <si>
    <t>Check deep beam (one way shear through short width) at face of column</t>
  </si>
  <si>
    <t>Hook</t>
  </si>
  <si>
    <t>Short hook add=</t>
  </si>
  <si>
    <t>Long hook add=</t>
  </si>
  <si>
    <t>4 PILE CAP (Traditional CRSI Approach)</t>
  </si>
  <si>
    <t>Check deep beam (one way shear through long width) at a distance</t>
  </si>
  <si>
    <t>d from column face - CRSI LIMIT STATE 3 -</t>
  </si>
  <si>
    <t>Check deep beam (one way shear through long width) at face of column</t>
  </si>
  <si>
    <t>(only applies when w/d&lt;1.0) - CRSI LIMIT STATE 6 -</t>
  </si>
  <si>
    <t>Round dimension (2) for punching shear</t>
  </si>
  <si>
    <t>Straight dimension (1) for punching shear</t>
  </si>
  <si>
    <t>Length dimension for punching shear</t>
  </si>
  <si>
    <t>Area for wt.=</t>
  </si>
  <si>
    <r>
      <t>ft</t>
    </r>
    <r>
      <rPr>
        <vertAlign val="superscript"/>
        <sz val="11"/>
        <color theme="1"/>
        <rFont val="Calibri"/>
        <family val="2"/>
        <scheme val="minor"/>
      </rPr>
      <t>2</t>
    </r>
  </si>
  <si>
    <t>5 PILE CAP (Traditional CRSI Approach)</t>
  </si>
  <si>
    <t>Program Description:</t>
  </si>
  <si>
    <t>Worksheet Name</t>
  </si>
  <si>
    <t>Description</t>
  </si>
  <si>
    <t>Doc</t>
  </si>
  <si>
    <t>This documentation sheet</t>
  </si>
  <si>
    <t>Program Assumptions and Limitations:</t>
  </si>
  <si>
    <t>9.  This program contains numerous “comment boxes” which contain a wide variety of information including</t>
  </si>
  <si>
    <t xml:space="preserve">     explanations of input or output items, equations used, data tables, etc.  (Note:  presence of a “comment box”</t>
  </si>
  <si>
    <t xml:space="preserve">     is denoted by a “red triangle” in the upper right-hand corner of a cell.  Merely move the mouse pointer to the </t>
  </si>
  <si>
    <t xml:space="preserve">     desired cell to view the contents of that particular "comment box".)</t>
  </si>
  <si>
    <t>"CRSI-PILECAP" --- PILECAP DESIGN AND ANALYSIS SPREADSHEET</t>
  </si>
  <si>
    <t>2 Pile Cap</t>
  </si>
  <si>
    <t>3 Pile Cap</t>
  </si>
  <si>
    <t>4 Pile Cap</t>
  </si>
  <si>
    <t>5 Pile Cap</t>
  </si>
  <si>
    <t>6 Pile Cap</t>
  </si>
  <si>
    <t>7 Pile Cap</t>
  </si>
  <si>
    <t>8 Pile Cap</t>
  </si>
  <si>
    <t>9 Pile Cap</t>
  </si>
  <si>
    <t>10 Pile Cap</t>
  </si>
  <si>
    <t>11 Pile Cap</t>
  </si>
  <si>
    <t>12 Pile Cap</t>
  </si>
  <si>
    <t>13 Pile Cap</t>
  </si>
  <si>
    <t>14 Pile Cap</t>
  </si>
  <si>
    <t>15 Pile Cap</t>
  </si>
  <si>
    <t>16 Pile Cap</t>
  </si>
  <si>
    <t>17 Pile Cap</t>
  </si>
  <si>
    <t>18 Pile Cap</t>
  </si>
  <si>
    <t>19 Pile Cap</t>
  </si>
  <si>
    <t>20 Pile Cap</t>
  </si>
  <si>
    <t>21 Pile Cap</t>
  </si>
  <si>
    <t>22 Pile Cap</t>
  </si>
  <si>
    <t>23 Pile Cap</t>
  </si>
  <si>
    <t>24 Pile Cap</t>
  </si>
  <si>
    <t>26 Pile Cap</t>
  </si>
  <si>
    <t>28 Pile Cap</t>
  </si>
  <si>
    <t>30 Pile Cap</t>
  </si>
  <si>
    <t>"CRSI-PILECAP" is a spreadsheet program written in MS-Excel for the design and analysis of rigid pile</t>
  </si>
  <si>
    <t>pile cap depth, bar size, and minimum pile eccentrity (which can also be used to increase pile cap moment demand</t>
  </si>
  <si>
    <t>if so desired).  Design requires the user to simply yet interatively choose a minimum design depth that satisfies</t>
  </si>
  <si>
    <t xml:space="preserve">1.  The CRSI-PILECAP worksheets assume rigid cap load distribution to each pile (i.e., equal load distribution) </t>
  </si>
  <si>
    <t>This program is a workbook consisting of ten (27) worksheets, described as follows:</t>
  </si>
  <si>
    <t>3.  The tabulated designs are adequate (and conservative) for rectangular columns or steel base</t>
  </si>
  <si>
    <t xml:space="preserve">     plates if the short side or section is equal to the minimum tabulated column size.</t>
  </si>
  <si>
    <t>4.  A minimum embedment of 6 inches has been established as good practice with structural</t>
  </si>
  <si>
    <t xml:space="preserve">     designs, a minimum embedment of 4 inches is usually sufficient.</t>
  </si>
  <si>
    <t xml:space="preserve">     steel shapes to avoid use of cover plates for bearing.  If precast, concrete, or timber piles are to be used in the tabulated</t>
  </si>
  <si>
    <t xml:space="preserve">     and (c) 2 ft clear between piles is used in the worksheets.  The 3 times the pile dimension requirement is based on current</t>
  </si>
  <si>
    <t xml:space="preserve">     geotechnical recommendations that result in expected maximum pile capacities.</t>
  </si>
  <si>
    <t xml:space="preserve">6.  Note that some tabulated designs show dimensions on the line below. These dimensions are for use with “clipped corners” </t>
  </si>
  <si>
    <t xml:space="preserve">     of the pile cap with the corners removed.</t>
  </si>
  <si>
    <t>8.  For pile caps with 2, 3, 4, 5, 6, 7, or 9 piles, all reinforcing bars must be provided with standard</t>
  </si>
  <si>
    <t xml:space="preserve">     end hooks. For pile caps with 8, 10, 11, or 12 piles, only the short reinforcing bars must be provided with</t>
  </si>
  <si>
    <t>6 PILE CAP (Traditional CRSI Approach)</t>
  </si>
  <si>
    <t>9 PILE CAP (Traditional CRSI Approach)</t>
  </si>
  <si>
    <t>16 PILE CAP (Traditional CRSI Approach)</t>
  </si>
  <si>
    <t>Long bar size small enough to develop straight bars?</t>
  </si>
  <si>
    <t>Short Bars No Hook Development Length Check</t>
  </si>
  <si>
    <t>c. to c. spacing of long bars=</t>
  </si>
  <si>
    <t xml:space="preserve">concrete cover = </t>
  </si>
  <si>
    <r>
      <t>c</t>
    </r>
    <r>
      <rPr>
        <vertAlign val="subscript"/>
        <sz val="8"/>
        <color theme="1"/>
        <rFont val="Calibri"/>
        <family val="2"/>
        <scheme val="minor"/>
      </rPr>
      <t>b</t>
    </r>
    <r>
      <rPr>
        <sz val="8"/>
        <color theme="1"/>
        <rFont val="Calibri"/>
        <family val="2"/>
        <scheme val="minor"/>
      </rPr>
      <t>=</t>
    </r>
  </si>
  <si>
    <r>
      <t>c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=</t>
    </r>
  </si>
  <si>
    <r>
      <rPr>
        <sz val="11"/>
        <color theme="1"/>
        <rFont val="MT Extra"/>
        <family val="1"/>
        <charset val="2"/>
      </rPr>
      <t>l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=</t>
    </r>
  </si>
  <si>
    <r>
      <rPr>
        <sz val="8"/>
        <color theme="1"/>
        <rFont val="Symbol"/>
        <family val="1"/>
        <charset val="2"/>
      </rPr>
      <t>y</t>
    </r>
    <r>
      <rPr>
        <vertAlign val="subscript"/>
        <sz val="8"/>
        <color theme="1"/>
        <rFont val="Calibri"/>
        <family val="2"/>
        <scheme val="minor"/>
      </rPr>
      <t>t</t>
    </r>
    <r>
      <rPr>
        <sz val="8"/>
        <color theme="1"/>
        <rFont val="Calibri"/>
        <family val="2"/>
        <scheme val="minor"/>
      </rPr>
      <t>=</t>
    </r>
  </si>
  <si>
    <t>Use 1.0 for bottom bars</t>
  </si>
  <si>
    <r>
      <rPr>
        <sz val="11"/>
        <color theme="1"/>
        <rFont val="MT Extra"/>
        <family val="1"/>
        <charset val="2"/>
      </rPr>
      <t>l</t>
    </r>
    <r>
      <rPr>
        <vertAlign val="subscript"/>
        <sz val="11"/>
        <color theme="1"/>
        <rFont val="Calibri"/>
        <family val="2"/>
        <scheme val="minor"/>
      </rPr>
      <t>available</t>
    </r>
    <r>
      <rPr>
        <sz val="11"/>
        <color theme="1"/>
        <rFont val="Calibri"/>
        <family val="2"/>
        <scheme val="minor"/>
      </rPr>
      <t>=</t>
    </r>
  </si>
  <si>
    <r>
      <rPr>
        <sz val="8"/>
        <color theme="1"/>
        <rFont val="Symbol"/>
        <family val="1"/>
        <charset val="2"/>
      </rPr>
      <t>y</t>
    </r>
    <r>
      <rPr>
        <vertAlign val="subscript"/>
        <sz val="8"/>
        <color theme="1"/>
        <rFont val="Calibri"/>
        <family val="2"/>
        <scheme val="minor"/>
      </rPr>
      <t>e</t>
    </r>
    <r>
      <rPr>
        <sz val="8"/>
        <color theme="1"/>
        <rFont val="Calibri"/>
        <family val="2"/>
        <scheme val="minor"/>
      </rPr>
      <t>=</t>
    </r>
  </si>
  <si>
    <r>
      <rPr>
        <sz val="8"/>
        <color theme="1"/>
        <rFont val="Symbol"/>
        <family val="1"/>
        <charset val="2"/>
      </rPr>
      <t>y</t>
    </r>
    <r>
      <rPr>
        <vertAlign val="subscript"/>
        <sz val="8"/>
        <color theme="1"/>
        <rFont val="Calibri"/>
        <family val="2"/>
        <scheme val="minor"/>
      </rPr>
      <t>s</t>
    </r>
    <r>
      <rPr>
        <sz val="8"/>
        <color theme="1"/>
        <rFont val="Calibri"/>
        <family val="2"/>
        <scheme val="minor"/>
      </rPr>
      <t>=</t>
    </r>
  </si>
  <si>
    <t>Based on long bar size</t>
  </si>
  <si>
    <r>
      <t>(c</t>
    </r>
    <r>
      <rPr>
        <vertAlign val="subscript"/>
        <sz val="8"/>
        <color theme="1"/>
        <rFont val="Calibri"/>
        <family val="2"/>
        <scheme val="minor"/>
      </rPr>
      <t>b</t>
    </r>
    <r>
      <rPr>
        <sz val="8"/>
        <color theme="1"/>
        <rFont val="Calibri"/>
        <family val="2"/>
        <scheme val="minor"/>
      </rPr>
      <t>+K</t>
    </r>
    <r>
      <rPr>
        <vertAlign val="subscript"/>
        <sz val="8"/>
        <color theme="1"/>
        <rFont val="Calibri"/>
        <family val="2"/>
        <scheme val="minor"/>
      </rPr>
      <t>tr</t>
    </r>
    <r>
      <rPr>
        <sz val="8"/>
        <color theme="1"/>
        <rFont val="Calibri"/>
        <family val="2"/>
        <scheme val="minor"/>
      </rPr>
      <t>)/d</t>
    </r>
    <r>
      <rPr>
        <vertAlign val="subscript"/>
        <sz val="8"/>
        <color theme="1"/>
        <rFont val="Calibri"/>
        <family val="2"/>
        <scheme val="minor"/>
      </rPr>
      <t>b</t>
    </r>
    <r>
      <rPr>
        <sz val="8"/>
        <color theme="1"/>
        <rFont val="Calibri"/>
        <family val="2"/>
        <scheme val="minor"/>
      </rPr>
      <t>=</t>
    </r>
  </si>
  <si>
    <r>
      <rPr>
        <sz val="8"/>
        <color theme="1"/>
        <rFont val="MT Extra"/>
        <family val="1"/>
        <charset val="2"/>
      </rPr>
      <t>l</t>
    </r>
    <r>
      <rPr>
        <vertAlign val="subscript"/>
        <sz val="8"/>
        <color theme="1"/>
        <rFont val="Calibri"/>
        <family val="2"/>
        <scheme val="minor"/>
      </rPr>
      <t>d</t>
    </r>
    <r>
      <rPr>
        <sz val="8"/>
        <color theme="1"/>
        <rFont val="Calibri"/>
        <family val="2"/>
        <scheme val="minor"/>
      </rPr>
      <t>=</t>
    </r>
  </si>
  <si>
    <r>
      <rPr>
        <sz val="8"/>
        <color theme="1"/>
        <rFont val="MT Extra"/>
        <family val="1"/>
        <charset val="2"/>
      </rPr>
      <t>l</t>
    </r>
    <r>
      <rPr>
        <vertAlign val="subscript"/>
        <sz val="8"/>
        <color theme="1"/>
        <rFont val="Calibri"/>
        <family val="2"/>
        <scheme val="minor"/>
      </rPr>
      <t>available</t>
    </r>
    <r>
      <rPr>
        <sz val="8"/>
        <color theme="1"/>
        <rFont val="Calibri"/>
        <family val="2"/>
        <scheme val="minor"/>
      </rPr>
      <t>=</t>
    </r>
  </si>
  <si>
    <t>Long Bars No Hook Development Length Check</t>
  </si>
  <si>
    <t>distance from center of column to far pile centers (above)=</t>
  </si>
  <si>
    <t>distance from center of column to far pile centers (beside)=</t>
  </si>
  <si>
    <t>distance from center of column to left or right near pile centers =</t>
  </si>
  <si>
    <t>distance from center of column to top or bottom near pile centers =</t>
  </si>
  <si>
    <t>7 PILE CAP (Traditional CRSI Approach)</t>
  </si>
  <si>
    <t>DIAMETER FOR 7 PILE CAP</t>
  </si>
  <si>
    <t>distance from center of column to adjacent pile centers (radial)=</t>
  </si>
  <si>
    <t>NA</t>
  </si>
  <si>
    <t>NOTE TO CRSI: Something appears to be wrong with CAP Program for limit state 4 and high capacity piling</t>
  </si>
  <si>
    <t>Seems to be off factor of 2?</t>
  </si>
  <si>
    <t>8 PILE CAP (Traditional CRSI Approach)</t>
  </si>
  <si>
    <t>distance from center of column to adjacent pile centers (near beside)=</t>
  </si>
  <si>
    <t>distance from center of column to adjacent pile centers (far beside)=</t>
  </si>
  <si>
    <t>****COMBINED****</t>
  </si>
  <si>
    <t>10 PILE CAP (Traditional CRSI Approach)</t>
  </si>
  <si>
    <t>Short bar size small enough to develop straight bars?</t>
  </si>
  <si>
    <t>distance from center of column to adjacent pile centers (2nd beside)=</t>
  </si>
  <si>
    <t>11 PILE CAP (Traditional CRSI Approach)</t>
  </si>
  <si>
    <t>distance from center of column to adjacent pile centers (top)=</t>
  </si>
  <si>
    <t>distance from center of column to adjacent pile centers (LR1)=</t>
  </si>
  <si>
    <t>distance from center of column to adjacent pile centers (LR2)=</t>
  </si>
  <si>
    <t>distance from center of column to adjacent pile centers (LR3)=</t>
  </si>
  <si>
    <t>distance from center of column to left or right 1 pile centers =</t>
  </si>
  <si>
    <t>distance from center of column to left or right 2 pile centers =</t>
  </si>
  <si>
    <t>distance from center of column to left or right 3 pile centers =</t>
  </si>
  <si>
    <t>12 PILE CAP (Traditional CRSI Approach)</t>
  </si>
  <si>
    <t>distance from center of column to adjacent pile centers (beside2)=</t>
  </si>
  <si>
    <t>distance from center of column to left or right pile centers =</t>
  </si>
  <si>
    <t>13 PILE CAP (Traditional CRSI Approach)</t>
  </si>
  <si>
    <t>distance from center of column to adjacent pile centers (top2)=</t>
  </si>
  <si>
    <t>distance from center of column to top or bottom 1 centers =</t>
  </si>
  <si>
    <t>distance from center of column to top or bottom 2 centers =</t>
  </si>
  <si>
    <t>14 PILE CAP (Traditional CRSI Approach)</t>
  </si>
  <si>
    <t>distance from center of column to pile centers (beside2)=</t>
  </si>
  <si>
    <t>distance from center of column to pile centers (beside3)=</t>
  </si>
  <si>
    <t>15 PILE CAP (Traditional CRSI Approach)</t>
  </si>
  <si>
    <t>x=</t>
  </si>
  <si>
    <t>y=</t>
  </si>
  <si>
    <t>A'=</t>
  </si>
  <si>
    <t>B'=</t>
  </si>
  <si>
    <t>x'=</t>
  </si>
  <si>
    <t>y'=</t>
  </si>
  <si>
    <t>ycorner=</t>
  </si>
  <si>
    <t>xcorner=</t>
  </si>
  <si>
    <t>distance from center of column to adjacent pile centers (top3)=</t>
  </si>
  <si>
    <t>distance from center of column to top or bottom 3 centers =</t>
  </si>
  <si>
    <t>17 PILE CAP (Traditional CRSI Approach)</t>
  </si>
  <si>
    <t>bmodified</t>
  </si>
  <si>
    <t>boriginal</t>
  </si>
  <si>
    <t>19 PILE CAP (Traditional CRSI Approach)</t>
  </si>
  <si>
    <t>20 PILE CAP (Traditional CRSI Approach)</t>
  </si>
  <si>
    <t>distance from center of column to adjacent pile centers (above2)=</t>
  </si>
  <si>
    <t>24 PILE CAP (Traditional CRSI Approach)</t>
  </si>
  <si>
    <t>distance from center of column to adjacent pile centers (beside3)=</t>
  </si>
  <si>
    <t>distance from center of column to adjacent pile centers (beside4)=</t>
  </si>
  <si>
    <t>distance from center of column to adjacent pile centers (above3)=</t>
  </si>
  <si>
    <t>distance from center of column to adjacent pile centers (above4)=</t>
  </si>
  <si>
    <t>21 PILE CAP (Traditional CRSI Approach)</t>
  </si>
  <si>
    <t>22 PILE CAP (Traditional CRSI Approach)</t>
  </si>
  <si>
    <t>distance from center of column to adjacent pile centers (LR4)=</t>
  </si>
  <si>
    <t>**CONTROLLING**</t>
  </si>
  <si>
    <t>23 PILE CAP (Traditional CRSI Approach)</t>
  </si>
  <si>
    <t>26 PILE CAP (Traditional CRSI Approach)</t>
  </si>
  <si>
    <t>distance from center of column to adjacent pile centers (top4)=</t>
  </si>
  <si>
    <t>distance from center of column to top or bottom 4 centers =</t>
  </si>
  <si>
    <t>3 PILE CAP (Traditional CRSI Approach)</t>
  </si>
  <si>
    <t>Missing Triangular Area</t>
  </si>
  <si>
    <t>Missing Triangular Side1</t>
  </si>
  <si>
    <t>Missing Triangular Side2</t>
  </si>
  <si>
    <t>ft2</t>
  </si>
  <si>
    <t>Width for 3 way placement of bars</t>
  </si>
  <si>
    <t>Required Flexural Reinforcement - Three Ways</t>
  </si>
  <si>
    <t>All Steel Bar Summary:</t>
  </si>
  <si>
    <t>distance from center of column to top most pile centers =</t>
  </si>
  <si>
    <t>Column center distance from bottom</t>
  </si>
  <si>
    <t>batcolumn</t>
  </si>
  <si>
    <t>slope of b per ft (both sides)</t>
  </si>
  <si>
    <t>Not Applicable</t>
  </si>
  <si>
    <t>batw'</t>
  </si>
  <si>
    <t>caps.  Pile caps are designed and analyzed in accordance with ACI 318-11 with modifications as necessary</t>
  </si>
  <si>
    <t>to account for beam shear and punching shear when piles are placed inside the ACI assumed shear failure plane.</t>
  </si>
  <si>
    <t>General Note: This spreadsheet is part of the CRSI Pile Cap Design Guide (2015).  This program should only be used</t>
  </si>
  <si>
    <t>in conjunction with the design requirements and recommendations as presented in the CRSI Pile Cap Design Guide.</t>
  </si>
  <si>
    <t xml:space="preserve">     for a pile group.</t>
  </si>
  <si>
    <t>2.  The tabulated designs are based upon the use of a square reinforced concrete column of at least the minimum size indicated or</t>
  </si>
  <si>
    <t xml:space="preserve">     a structural steel column on a steel base plate such that the section half-way between the column face</t>
  </si>
  <si>
    <t xml:space="preserve">5.  A minimum pile spacing equal to the maximum of (a) 3 ft o.c., (b) 3 times the pile dimension, </t>
  </si>
  <si>
    <t xml:space="preserve">     to save concrete. In other words, the “clipped corner” dimensions are the truncated dimensions </t>
  </si>
  <si>
    <t xml:space="preserve">     range shown, 40 tons to 400 tons, covers the usual range for precast concrete or structural steel piles.</t>
  </si>
  <si>
    <t xml:space="preserve">     An average load factor of 1.6 is conservatively assumed for pile cap design.</t>
  </si>
  <si>
    <t xml:space="preserve">     end hooks, and should be placed as the lower layer.  As an alternative to hooked bars, the bar ends can be headed.</t>
  </si>
  <si>
    <t xml:space="preserve">     in the CRSI Pile Cap Design Guide.</t>
  </si>
  <si>
    <t>10.The limit states listed in the output section of each worksheet are defined and shown graphically</t>
  </si>
  <si>
    <t>Terms Used in the Input Section of the Worksheets:</t>
  </si>
  <si>
    <t>load (as determined by geotechnical engineers) are typically 1.6 to 2.0 times the ASD allowable load.</t>
  </si>
  <si>
    <t>Values between 40 tons and 400 tons may be selected.</t>
  </si>
  <si>
    <r>
      <rPr>
        <b/>
        <sz val="11"/>
        <color theme="1"/>
        <rFont val="Calibri"/>
        <family val="2"/>
        <scheme val="minor"/>
      </rPr>
      <t>Pile Type</t>
    </r>
    <r>
      <rPr>
        <sz val="11"/>
        <color theme="1"/>
        <rFont val="Calibri"/>
        <family val="2"/>
        <scheme val="minor"/>
      </rPr>
      <t xml:space="preserve"> - concrete, steel, or wood piling may be selected</t>
    </r>
  </si>
  <si>
    <r>
      <rPr>
        <b/>
        <sz val="11"/>
        <color theme="1"/>
        <rFont val="Calibri"/>
        <family val="2"/>
        <scheme val="minor"/>
      </rPr>
      <t>f</t>
    </r>
    <r>
      <rPr>
        <b/>
        <vertAlign val="subscript"/>
        <sz val="11"/>
        <color theme="1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 xml:space="preserve"> - yield strength of steel reinforcement; limited to 60 ksi</t>
    </r>
  </si>
  <si>
    <r>
      <rPr>
        <b/>
        <sz val="11"/>
        <color theme="1"/>
        <rFont val="Calibri"/>
        <family val="2"/>
        <scheme val="minor"/>
      </rPr>
      <t>Pile Allowable Load (ASD)</t>
    </r>
    <r>
      <rPr>
        <sz val="11"/>
        <color theme="1"/>
        <rFont val="Calibri"/>
        <family val="2"/>
        <scheme val="minor"/>
      </rPr>
      <t xml:space="preserve"> - Allowable compressive load on pile (provided by geotechnical engineer).  Ultimate pile</t>
    </r>
  </si>
  <si>
    <r>
      <rPr>
        <b/>
        <sz val="11"/>
        <color theme="1"/>
        <rFont val="Calibri"/>
        <family val="2"/>
        <scheme val="minor"/>
      </rPr>
      <t>Minimum Pile Embedment</t>
    </r>
    <r>
      <rPr>
        <sz val="11"/>
        <color theme="1"/>
        <rFont val="Calibri"/>
        <family val="2"/>
        <scheme val="minor"/>
      </rPr>
      <t xml:space="preserve"> - the minimum pile embedment is set at 6 in. for steel piles and 4 in. for concrete</t>
    </r>
  </si>
  <si>
    <t>and wood piles.</t>
  </si>
  <si>
    <r>
      <rPr>
        <b/>
        <sz val="11"/>
        <color theme="1"/>
        <rFont val="Calibri"/>
        <family val="2"/>
        <scheme val="minor"/>
      </rPr>
      <t>Pile Shape</t>
    </r>
    <r>
      <rPr>
        <sz val="11"/>
        <color theme="1"/>
        <rFont val="Calibri"/>
        <family val="2"/>
        <scheme val="minor"/>
      </rPr>
      <t xml:space="preserve"> - round or square piles may be selected; H-piles are considered square piles (see CRSI Pile Cap </t>
    </r>
  </si>
  <si>
    <t>Design Guide); pipe piles are considered round piles (see CRSI Pile Cap Design Guide)</t>
  </si>
  <si>
    <r>
      <rPr>
        <b/>
        <sz val="11"/>
        <color theme="1"/>
        <rFont val="Calibri"/>
        <family val="2"/>
        <scheme val="minor"/>
      </rPr>
      <t>Accidential Pile Offset</t>
    </r>
    <r>
      <rPr>
        <sz val="11"/>
        <color theme="1"/>
        <rFont val="Calibri"/>
        <family val="2"/>
        <scheme val="minor"/>
      </rPr>
      <t xml:space="preserve"> - pile location tolerence; increases shear and bending demands on pile cap;</t>
    </r>
  </si>
  <si>
    <r>
      <rPr>
        <b/>
        <sz val="11"/>
        <color theme="1"/>
        <rFont val="Calibri"/>
        <family val="2"/>
        <scheme val="minor"/>
      </rPr>
      <t>Minimum Pile Dimension d</t>
    </r>
    <r>
      <rPr>
        <b/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- is the pile diameter for round columns and the pile side dimension for square piles</t>
    </r>
  </si>
  <si>
    <r>
      <rPr>
        <b/>
        <sz val="11"/>
        <color theme="1"/>
        <rFont val="Calibri"/>
        <family val="2"/>
        <scheme val="minor"/>
      </rPr>
      <t>D</t>
    </r>
    <r>
      <rPr>
        <b/>
        <vertAlign val="subscript"/>
        <sz val="11"/>
        <color theme="1"/>
        <rFont val="Calibri"/>
        <family val="2"/>
        <scheme val="minor"/>
      </rPr>
      <t>min,recommended</t>
    </r>
    <r>
      <rPr>
        <sz val="11"/>
        <color theme="1"/>
        <rFont val="Calibri"/>
        <family val="2"/>
        <scheme val="minor"/>
      </rPr>
      <t xml:space="preserve"> - minimum recommended pile cap thickness based on limit state P4 (CRSI Pile Cap Design Guide)</t>
    </r>
  </si>
  <si>
    <r>
      <rPr>
        <b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- minimum pile cap width (long direction); automatically calculated based on pile spacing and edge distance</t>
    </r>
  </si>
  <si>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- minimum pile cap width (short direction); automatically calculated based on pile spacing and edge distance</t>
    </r>
  </si>
  <si>
    <r>
      <rPr>
        <b/>
        <sz val="11"/>
        <color theme="1"/>
        <rFont val="Calibri"/>
        <family val="2"/>
        <scheme val="minor"/>
      </rPr>
      <t>Short Bars Size (No.)</t>
    </r>
    <r>
      <rPr>
        <sz val="11"/>
        <color theme="1"/>
        <rFont val="Calibri"/>
        <family val="2"/>
        <scheme val="minor"/>
      </rPr>
      <t xml:space="preserve"> - selected reinforcement size for bars spanning in the "B" direction</t>
    </r>
  </si>
  <si>
    <r>
      <rPr>
        <b/>
        <sz val="11"/>
        <color theme="1"/>
        <rFont val="Calibri"/>
        <family val="2"/>
        <scheme val="minor"/>
      </rPr>
      <t>Long Bars Size (No.)</t>
    </r>
    <r>
      <rPr>
        <sz val="11"/>
        <color theme="1"/>
        <rFont val="Calibri"/>
        <family val="2"/>
        <scheme val="minor"/>
      </rPr>
      <t xml:space="preserve"> - selected reinforcement size for bars spanning in the "A" direction</t>
    </r>
  </si>
  <si>
    <r>
      <rPr>
        <b/>
        <sz val="11"/>
        <color theme="1"/>
        <rFont val="Calibri"/>
        <family val="2"/>
        <scheme val="minor"/>
      </rPr>
      <t>d</t>
    </r>
    <r>
      <rPr>
        <b/>
        <vertAlign val="subscript"/>
        <sz val="11"/>
        <color theme="1"/>
        <rFont val="Calibri"/>
        <family val="2"/>
        <scheme val="minor"/>
      </rPr>
      <t>short bars</t>
    </r>
    <r>
      <rPr>
        <sz val="11"/>
        <color theme="1"/>
        <rFont val="Calibri"/>
        <family val="2"/>
        <scheme val="minor"/>
      </rPr>
      <t xml:space="preserve"> - effective depth of concrete from top of cap to center of short bars (automatically calculated)</t>
    </r>
  </si>
  <si>
    <r>
      <rPr>
        <b/>
        <sz val="11"/>
        <color theme="1"/>
        <rFont val="Calibri"/>
        <family val="2"/>
        <scheme val="minor"/>
      </rPr>
      <t>d</t>
    </r>
    <r>
      <rPr>
        <b/>
        <vertAlign val="subscript"/>
        <sz val="11"/>
        <color theme="1"/>
        <rFont val="Calibri"/>
        <family val="2"/>
        <scheme val="minor"/>
      </rPr>
      <t>long bars</t>
    </r>
    <r>
      <rPr>
        <sz val="11"/>
        <color theme="1"/>
        <rFont val="Calibri"/>
        <family val="2"/>
        <scheme val="minor"/>
      </rPr>
      <t xml:space="preserve"> - effective depth of concrete from top of cap to center of long bars (automatically calculated)</t>
    </r>
  </si>
  <si>
    <t>calculated)</t>
  </si>
  <si>
    <r>
      <rPr>
        <b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- minimum center to center pile spacing; set by CRSI recommendations; see comment box; (automatically</t>
    </r>
  </si>
  <si>
    <t>box)</t>
  </si>
  <si>
    <r>
      <rPr>
        <b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- minimum edge distance from center of pile to edge of concrete; set by CRSI recommendations (see comment</t>
    </r>
  </si>
  <si>
    <r>
      <rPr>
        <b/>
        <sz val="11"/>
        <color theme="1"/>
        <rFont val="Calibri"/>
        <family val="2"/>
        <scheme val="minor"/>
      </rPr>
      <t>d</t>
    </r>
    <r>
      <rPr>
        <b/>
        <vertAlign val="subscript"/>
        <sz val="11"/>
        <color theme="1"/>
        <rFont val="Calibri"/>
        <family val="2"/>
        <scheme val="minor"/>
      </rPr>
      <t>shear checks</t>
    </r>
    <r>
      <rPr>
        <sz val="11"/>
        <color theme="1"/>
        <rFont val="Calibri"/>
        <family val="2"/>
        <scheme val="minor"/>
      </rPr>
      <t xml:space="preserve"> - the effective depth of the concrete for shear limit states; based on the Minimum Pile Embedment</t>
    </r>
  </si>
  <si>
    <t>minimum set as CRSI recommended value of 3 in.; maximum value arbitrarily set at 9 in.</t>
  </si>
  <si>
    <r>
      <t>Clear Cover Over Top of Pile</t>
    </r>
    <r>
      <rPr>
        <sz val="11"/>
        <color theme="1"/>
        <rFont val="Calibri"/>
        <family val="2"/>
        <scheme val="minor"/>
      </rPr>
      <t xml:space="preserve"> - the clear distance from the top of the pile to the first layer of reinforcement;</t>
    </r>
  </si>
  <si>
    <t>the minimum value is set as the CRSI recommended minimum of 3 in.; the maximum value is arbitrarily set at 5 in.</t>
  </si>
  <si>
    <t>the value is D minus 8 in. (automatically calcuated)</t>
  </si>
  <si>
    <t>CRSI Limit State P1 Adequate?</t>
  </si>
  <si>
    <t>CRSI Limit State P2 Adequate?</t>
  </si>
  <si>
    <t>CRSI Limit State P3 Adequate?</t>
  </si>
  <si>
    <t>CRSI Limit State P4 Adequate?</t>
  </si>
  <si>
    <t>28 PILE CAP (Traditional CRSI Approach)</t>
  </si>
  <si>
    <t>30 PILE CAP (Traditional CRSI Approach)</t>
  </si>
  <si>
    <t>18 PILE CAP (Traditional CRSI Approach)</t>
  </si>
  <si>
    <t>factored shear demand is decreased by weight of concrete inside of critical section</t>
  </si>
  <si>
    <t>Lnth Add. Hook</t>
  </si>
  <si>
    <t>Make sure larger w is not within d/2</t>
  </si>
  <si>
    <r>
      <t>w</t>
    </r>
    <r>
      <rPr>
        <vertAlign val="subscript"/>
        <sz val="11"/>
        <color theme="1"/>
        <rFont val="Calibri"/>
        <family val="2"/>
        <scheme val="minor"/>
      </rPr>
      <t>average</t>
    </r>
  </si>
  <si>
    <t>Above</t>
  </si>
  <si>
    <t>Below</t>
  </si>
  <si>
    <t>Controlling</t>
  </si>
  <si>
    <t>Conservatively assuming w'/d=1.0,</t>
  </si>
  <si>
    <t xml:space="preserve">Users input the pile type/material, pile shape, pile allowable load, pile size, pile cap material properties, </t>
  </si>
  <si>
    <t>all limit states required by ACI and those recommended by CRSI.  The load combination used to change from pile</t>
  </si>
  <si>
    <t>The chosen load factor and strength reduction factor were chosen to provide a factor of safety against shear failure</t>
  </si>
  <si>
    <r>
      <t>allowable load to factored load is 1.6(D+L</t>
    </r>
    <r>
      <rPr>
        <vertAlign val="subscript"/>
        <sz val="9"/>
        <color theme="1"/>
        <rFont val="Arial"/>
        <family val="2"/>
      </rPr>
      <t>floor</t>
    </r>
    <r>
      <rPr>
        <sz val="9"/>
        <color theme="1"/>
        <rFont val="Arial"/>
        <family val="2"/>
      </rPr>
      <t xml:space="preserve">) and the assumed strength resistance factor for shear is </t>
    </r>
    <r>
      <rPr>
        <sz val="9"/>
        <color theme="1"/>
        <rFont val="Symbol"/>
        <family val="1"/>
        <charset val="2"/>
      </rPr>
      <t>f</t>
    </r>
    <r>
      <rPr>
        <sz val="9"/>
        <color theme="1"/>
        <rFont val="Arial"/>
        <family val="2"/>
      </rPr>
      <t xml:space="preserve"> = 0.85.</t>
    </r>
  </si>
  <si>
    <r>
      <rPr>
        <b/>
        <sz val="11"/>
        <color theme="1"/>
        <rFont val="Calibri"/>
        <family val="2"/>
        <scheme val="minor"/>
      </rPr>
      <t>D</t>
    </r>
    <r>
      <rPr>
        <b/>
        <vertAlign val="subscript"/>
        <sz val="11"/>
        <color theme="1"/>
        <rFont val="Calibri"/>
        <family val="2"/>
        <scheme val="minor"/>
      </rPr>
      <t>cap</t>
    </r>
    <r>
      <rPr>
        <sz val="11"/>
        <color theme="1"/>
        <rFont val="Calibri"/>
        <family val="2"/>
        <scheme val="minor"/>
      </rPr>
      <t xml:space="preserve"> - user selected pile cap thickness; all resulting limit state design checks must be "ok"</t>
    </r>
  </si>
  <si>
    <r>
      <rPr>
        <b/>
        <sz val="11"/>
        <color theme="1"/>
        <rFont val="Calibri"/>
        <family val="2"/>
        <scheme val="minor"/>
      </rPr>
      <t>f</t>
    </r>
    <r>
      <rPr>
        <b/>
        <vertAlign val="subscript"/>
        <sz val="11"/>
        <color theme="1"/>
        <rFont val="Calibri"/>
        <family val="2"/>
        <scheme val="minor"/>
      </rPr>
      <t>c</t>
    </r>
    <r>
      <rPr>
        <b/>
        <sz val="11"/>
        <color theme="1"/>
        <rFont val="Calibri"/>
        <family val="2"/>
        <scheme val="minor"/>
      </rPr>
      <t>'</t>
    </r>
    <r>
      <rPr>
        <sz val="11"/>
        <color theme="1"/>
        <rFont val="Calibri"/>
        <family val="2"/>
        <scheme val="minor"/>
      </rPr>
      <t xml:space="preserve"> - 28 day strength of concrete (limited to 3,000 or 4,000 psi)</t>
    </r>
  </si>
  <si>
    <t>For a complete list of terms used in this spreadsheet, please see the CRSI Pile Cap Design Guide (2015).</t>
  </si>
  <si>
    <t xml:space="preserve">     and the edge of the base plate is equivalent to the size of the column.</t>
  </si>
  <si>
    <r>
      <t>7.  Pile Allowable Load is tabulated in tons, (D + L</t>
    </r>
    <r>
      <rPr>
        <vertAlign val="subscript"/>
        <sz val="9"/>
        <rFont val="Arial"/>
        <family val="2"/>
      </rPr>
      <t>floor</t>
    </r>
    <r>
      <rPr>
        <sz val="9"/>
        <rFont val="Arial"/>
        <family val="2"/>
      </rPr>
      <t>), as is usually done in accepted practice. The</t>
    </r>
  </si>
  <si>
    <t>plus the Clear Cover Over Top of Pile plus 1 inch; for steel piles, the value is D minus 10 in.; for concrete/wood piles</t>
  </si>
  <si>
    <t>Special Notes for Comparing Program Output with Tabulated Designs in Pile Cap Design Guide:</t>
  </si>
  <si>
    <t>1.  For the 2 Pile Cap, the previous CRSI Design Handbook (2008) added an extra degree of conservatism when</t>
  </si>
  <si>
    <t xml:space="preserve">     determining the one way shear nominal strength.  Pile cap instability (weak axis) and one way action were</t>
  </si>
  <si>
    <t xml:space="preserve">     considerations.  The CRSI Pile Cap Design Guide (2015) and this software program also include this extra</t>
  </si>
  <si>
    <t xml:space="preserve">     conservatism.  See 2 Pile Cap tab and Limit State 5 calculations for more information.</t>
  </si>
  <si>
    <t>2.  For the 3 Pile Cap, one way shear is possible on either side of the column (i.e., with 1 pile or 2 piles causing</t>
  </si>
  <si>
    <t xml:space="preserve">     demand and and reduced area towards the pile).  The program considers both conditions and presents the worst</t>
  </si>
  <si>
    <t xml:space="preserve">     case results.</t>
  </si>
  <si>
    <t>3.  For pile caps with different distances w when considering orthogonal action and two way shear (e.g., 6 Pile Cap</t>
  </si>
  <si>
    <t xml:space="preserve">     and 8 Pile Cap), the program uses a slightly more conservative approach than the previous CRSI Design Handbook</t>
  </si>
  <si>
    <t xml:space="preserve">     (2008) for determining the nominal shear strength for Limit State 4.  The previous approach used the average</t>
  </si>
  <si>
    <t xml:space="preserve">     w value (considering both directions) where this program uses the average demand capacity ratio for each w.</t>
  </si>
  <si>
    <t xml:space="preserve">equivalent to that which was used in the CRSI Design Handbook (2008). </t>
  </si>
  <si>
    <t>4.  CRSI Limit State P4 is very restrictive for thicker pile caps and may not be entirely applicable in some cases.</t>
  </si>
  <si>
    <t xml:space="preserve">     The spreadsheet conservatively applies it to all caps with corner piles but assumes the one way shear strength</t>
  </si>
  <si>
    <r>
      <t xml:space="preserve">     is limited to 2(f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scheme val="minor"/>
      </rPr>
      <t xml:space="preserve"> which is very conservative when the critical distance from the cap is limited to 13 in.</t>
    </r>
  </si>
  <si>
    <t xml:space="preserve">     As a result, the design guide review committee has reviewed the results for the tabulated designs and believes that</t>
  </si>
  <si>
    <r>
      <t xml:space="preserve">     increasing the one way shear strength to 3(f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')</t>
    </r>
    <r>
      <rPr>
        <vertAlign val="superscript"/>
        <sz val="11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scheme val="minor"/>
      </rPr>
      <t xml:space="preserve"> is still conservative for these configurations.</t>
    </r>
  </si>
  <si>
    <t>Pile Cap Design for 2 Piles</t>
  </si>
  <si>
    <t>Pile Cap Design for 3 Piles (Round Column)</t>
  </si>
  <si>
    <t>Pile Cap Design for 4 Piles</t>
  </si>
  <si>
    <t>Pile Cap Design for 5 Piles</t>
  </si>
  <si>
    <t>Pile Cap Design for 6 Piles</t>
  </si>
  <si>
    <t>Pile Cap Design for 7 Piles (Round Column)</t>
  </si>
  <si>
    <t>Pile Cap Design for 8 Piles</t>
  </si>
  <si>
    <t>Pile Cap Design for 9 Piles</t>
  </si>
  <si>
    <t>Pile Cap Design for 10 Piles</t>
  </si>
  <si>
    <t>Pile Cap Design for 11 Piles</t>
  </si>
  <si>
    <t>Pile Cap Design for 12 Piles</t>
  </si>
  <si>
    <t>Pile Cap Design for 13 Piles</t>
  </si>
  <si>
    <t>Pile Cap Design for 14 Piles</t>
  </si>
  <si>
    <t>Pile Cap Design for 15 Piles</t>
  </si>
  <si>
    <t>Pile Cap Design for 16 Piles</t>
  </si>
  <si>
    <t>Pile Cap Design for 17 Piles</t>
  </si>
  <si>
    <t>Pile Cap Design for 18 Piles</t>
  </si>
  <si>
    <t>Pile Cap Design for 19 Piles</t>
  </si>
  <si>
    <t>Pile Cap Design for 20 Piles</t>
  </si>
  <si>
    <t>Pile Cap Design for 21 Piles</t>
  </si>
  <si>
    <t>Pile Cap Design for 22 Piles</t>
  </si>
  <si>
    <t>Pile Cap Design for 23 Piles</t>
  </si>
  <si>
    <t>Pile Cap Design for 24 Piles</t>
  </si>
  <si>
    <t>Pile Cap Design for 26 Piles</t>
  </si>
  <si>
    <t>Pile Cap Design for 28 Piles</t>
  </si>
  <si>
    <t>Pile Cap Design for 30 Piles</t>
  </si>
  <si>
    <t>Per ACI 318-11 Building Code</t>
  </si>
  <si>
    <t>Pile Type =</t>
  </si>
  <si>
    <t>Pile Shape =</t>
  </si>
  <si>
    <r>
      <t>Concrete Comp. Strength, f'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=</t>
    </r>
  </si>
  <si>
    <r>
      <t>Steel Reinforcing Yield, f</t>
    </r>
    <r>
      <rPr>
        <vertAlign val="subscript"/>
        <sz val="11"/>
        <color theme="1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>=</t>
    </r>
  </si>
  <si>
    <t>Accidential Pile Offset =</t>
  </si>
  <si>
    <t>Pile Allowable Load (ASD) =</t>
  </si>
  <si>
    <t>Minimum Pile Embedment =</t>
  </si>
  <si>
    <t>Clear Cover Over Top of Pile=</t>
  </si>
  <si>
    <t>Pile Spacing, L=</t>
  </si>
  <si>
    <t>ft.</t>
  </si>
  <si>
    <t>Pile Edge Distance, E=</t>
  </si>
  <si>
    <r>
      <t>Pile Cap D</t>
    </r>
    <r>
      <rPr>
        <vertAlign val="subscript"/>
        <sz val="11"/>
        <color theme="1"/>
        <rFont val="Calibri"/>
        <family val="2"/>
        <scheme val="minor"/>
      </rPr>
      <t>min,recommended</t>
    </r>
    <r>
      <rPr>
        <sz val="11"/>
        <color theme="1"/>
        <rFont val="Calibri"/>
        <family val="2"/>
        <scheme val="minor"/>
      </rPr>
      <t>=</t>
    </r>
  </si>
  <si>
    <r>
      <t>Pile Cap D</t>
    </r>
    <r>
      <rPr>
        <vertAlign val="subscript"/>
        <sz val="11"/>
        <color theme="1"/>
        <rFont val="Calibri"/>
        <family val="2"/>
        <scheme val="minor"/>
      </rPr>
      <t>cap</t>
    </r>
    <r>
      <rPr>
        <sz val="11"/>
        <color theme="1"/>
        <rFont val="Calibri"/>
        <family val="2"/>
        <scheme val="minor"/>
      </rPr>
      <t>=</t>
    </r>
  </si>
  <si>
    <t>Pile Cap Dimension A=</t>
  </si>
  <si>
    <t>Pile Cap Dimension B=</t>
  </si>
  <si>
    <t xml:space="preserve">Short Bars Size (No.) = </t>
  </si>
  <si>
    <t>Long Bars Size (No.) =</t>
  </si>
  <si>
    <r>
      <t>Reinf. Effective d</t>
    </r>
    <r>
      <rPr>
        <vertAlign val="subscript"/>
        <sz val="11"/>
        <color theme="1"/>
        <rFont val="Calibri"/>
        <family val="2"/>
        <scheme val="minor"/>
      </rPr>
      <t>short bars</t>
    </r>
    <r>
      <rPr>
        <sz val="11"/>
        <color theme="1"/>
        <rFont val="Calibri"/>
        <family val="2"/>
        <scheme val="minor"/>
      </rPr>
      <t xml:space="preserve"> = </t>
    </r>
  </si>
  <si>
    <r>
      <t>Reinf. Effective d</t>
    </r>
    <r>
      <rPr>
        <vertAlign val="subscript"/>
        <sz val="11"/>
        <color theme="1"/>
        <rFont val="Calibri"/>
        <family val="2"/>
        <scheme val="minor"/>
      </rPr>
      <t>long bars</t>
    </r>
    <r>
      <rPr>
        <sz val="11"/>
        <color theme="1"/>
        <rFont val="Calibri"/>
        <family val="2"/>
        <scheme val="minor"/>
      </rPr>
      <t xml:space="preserve"> = </t>
    </r>
  </si>
  <si>
    <r>
      <t>Reinf. Effective d</t>
    </r>
    <r>
      <rPr>
        <vertAlign val="subscript"/>
        <sz val="11"/>
        <color theme="1"/>
        <rFont val="Calibri"/>
        <family val="2"/>
        <scheme val="minor"/>
      </rPr>
      <t>shear checks</t>
    </r>
    <r>
      <rPr>
        <sz val="11"/>
        <color theme="1"/>
        <rFont val="Calibri"/>
        <family val="2"/>
        <scheme val="minor"/>
      </rPr>
      <t xml:space="preserve"> = </t>
    </r>
  </si>
  <si>
    <t>Min. Column Dimension c=</t>
  </si>
  <si>
    <t>(continued)</t>
  </si>
  <si>
    <r>
      <t>in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/ft</t>
    </r>
  </si>
  <si>
    <r>
      <t>in</t>
    </r>
    <r>
      <rPr>
        <vertAlign val="superscript"/>
        <sz val="9"/>
        <color theme="1"/>
        <rFont val="Calibri"/>
        <family val="2"/>
        <scheme val="minor"/>
      </rPr>
      <t>2</t>
    </r>
  </si>
  <si>
    <r>
      <t>A</t>
    </r>
    <r>
      <rPr>
        <vertAlign val="subscript"/>
        <sz val="11"/>
        <color theme="1"/>
        <rFont val="Calibri"/>
        <family val="2"/>
        <scheme val="minor"/>
      </rPr>
      <t>s,min,1</t>
    </r>
    <r>
      <rPr>
        <sz val="11"/>
        <color theme="1"/>
        <rFont val="Calibri"/>
        <family val="2"/>
        <scheme val="minor"/>
      </rPr>
      <t>=3(f'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)</t>
    </r>
    <r>
      <rPr>
        <vertAlign val="superscript"/>
        <sz val="11"/>
        <color theme="1"/>
        <rFont val="Calibri"/>
        <family val="2"/>
        <scheme val="minor"/>
      </rPr>
      <t>1/2</t>
    </r>
    <r>
      <rPr>
        <sz val="11"/>
        <color theme="1"/>
        <rFont val="Calibri"/>
        <family val="2"/>
        <scheme val="minor"/>
      </rPr>
      <t>b</t>
    </r>
    <r>
      <rPr>
        <vertAlign val="subscript"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d/f</t>
    </r>
    <r>
      <rPr>
        <vertAlign val="subscript"/>
        <sz val="11"/>
        <color theme="1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>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</si>
  <si>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s,min,2</t>
    </r>
    <r>
      <rPr>
        <sz val="11"/>
        <color theme="1"/>
        <rFont val="Calibri"/>
        <family val="2"/>
        <scheme val="minor"/>
      </rPr>
      <t>=200b</t>
    </r>
    <r>
      <rPr>
        <vertAlign val="subscript"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>d/f</t>
    </r>
    <r>
      <rPr>
        <vertAlign val="subscript"/>
        <sz val="11"/>
        <color theme="1"/>
        <rFont val="Calibri"/>
        <family val="2"/>
        <scheme val="minor"/>
      </rPr>
      <t>y</t>
    </r>
    <r>
      <rPr>
        <sz val="11"/>
        <color theme="1"/>
        <rFont val="Calibri"/>
        <family val="2"/>
        <scheme val="minor"/>
      </rPr>
      <t>=</t>
    </r>
  </si>
  <si>
    <r>
      <t>A</t>
    </r>
    <r>
      <rPr>
        <vertAlign val="subscript"/>
        <sz val="11"/>
        <color theme="1"/>
        <rFont val="Calibri"/>
        <family val="2"/>
        <scheme val="minor"/>
      </rPr>
      <t>s,min,3</t>
    </r>
    <r>
      <rPr>
        <sz val="11"/>
        <color theme="1"/>
        <rFont val="Calibri"/>
        <family val="2"/>
        <scheme val="minor"/>
      </rPr>
      <t>=(0.0018 or 0.002)A</t>
    </r>
    <r>
      <rPr>
        <vertAlign val="sub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>=</t>
    </r>
  </si>
  <si>
    <t>E'=E-Offset =</t>
  </si>
  <si>
    <t>Req. number of short bars =</t>
  </si>
  <si>
    <t>Prov. number of short bars =</t>
  </si>
  <si>
    <t>Req. number of long bars =</t>
  </si>
  <si>
    <t>Prov. number of long bars =</t>
  </si>
  <si>
    <t>No. of piles outside d/2 from face of the column =</t>
  </si>
  <si>
    <t>No. of piles outside d from face of the column =</t>
  </si>
  <si>
    <r>
      <t>M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/(V</t>
    </r>
    <r>
      <rPr>
        <vertAlign val="subscript"/>
        <sz val="11"/>
        <color theme="1"/>
        <rFont val="Calibri"/>
        <family val="2"/>
        <scheme val="minor"/>
      </rPr>
      <t>u</t>
    </r>
    <r>
      <rPr>
        <sz val="11"/>
        <color theme="1"/>
        <rFont val="Calibri"/>
        <family val="2"/>
        <scheme val="minor"/>
      </rPr>
      <t>d)=</t>
    </r>
  </si>
  <si>
    <t>Quantity =</t>
  </si>
  <si>
    <t>CY</t>
  </si>
  <si>
    <t>Total weight of all steel =</t>
  </si>
  <si>
    <t>Comments:</t>
  </si>
  <si>
    <t>(All Three Directions)</t>
  </si>
  <si>
    <t>No. of piles outside face of the column =</t>
  </si>
  <si>
    <r>
      <t>w</t>
    </r>
    <r>
      <rPr>
        <vertAlign val="subscript"/>
        <sz val="11"/>
        <color theme="1"/>
        <rFont val="Calibri"/>
        <family val="2"/>
        <scheme val="minor"/>
      </rPr>
      <t>actual</t>
    </r>
    <r>
      <rPr>
        <sz val="11"/>
        <color theme="1"/>
        <rFont val="Calibri"/>
        <family val="2"/>
        <scheme val="minor"/>
      </rPr>
      <t>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</si>
</sst>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4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sz val="11"/>
      <color theme="1"/>
      <name val="MT Extra"/>
      <family val="1"/>
      <charset val="2"/>
    </font>
    <font>
      <b/>
      <vertAlign val="subscript"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Symbol"/>
      <family val="1"/>
      <charset val="2"/>
    </font>
    <font>
      <b/>
      <u/>
      <sz val="12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sz val="9"/>
      <color theme="1"/>
      <name val="Arial"/>
      <family val="2"/>
    </font>
    <font>
      <sz val="8"/>
      <color theme="1"/>
      <name val="Calibri"/>
      <family val="2"/>
      <scheme val="minor"/>
    </font>
    <font>
      <vertAlign val="subscript"/>
      <sz val="8"/>
      <color theme="1"/>
      <name val="Calibri"/>
      <family val="2"/>
      <scheme val="minor"/>
    </font>
    <font>
      <sz val="8"/>
      <color theme="1"/>
      <name val="Symbol"/>
      <family val="1"/>
      <charset val="2"/>
    </font>
    <font>
      <sz val="8"/>
      <color theme="1"/>
      <name val="MT Extra"/>
      <family val="1"/>
      <charset val="2"/>
    </font>
    <font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9"/>
      <color theme="1"/>
      <name val="Symbol"/>
      <family val="1"/>
      <charset val="2"/>
    </font>
    <font>
      <vertAlign val="subscript"/>
      <sz val="9"/>
      <color theme="1"/>
      <name val="Arial"/>
      <family val="2"/>
    </font>
    <font>
      <vertAlign val="subscript"/>
      <sz val="9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u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u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2" borderId="0" xfId="0" applyFill="1"/>
    <xf numFmtId="0" fontId="0" fillId="2" borderId="4" xfId="0" applyFill="1" applyBorder="1"/>
    <xf numFmtId="0" fontId="23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2" fillId="2" borderId="0" xfId="0" applyFont="1" applyFill="1" applyAlignment="1" applyProtection="1">
      <alignment horizontal="centerContinuous"/>
      <protection hidden="1"/>
    </xf>
    <xf numFmtId="0" fontId="0" fillId="2" borderId="0" xfId="0" applyFill="1" applyAlignment="1" applyProtection="1">
      <alignment horizontal="centerContinuous"/>
      <protection hidden="1"/>
    </xf>
    <xf numFmtId="0" fontId="23" fillId="2" borderId="0" xfId="0" applyFont="1" applyFill="1" applyAlignment="1" applyProtection="1">
      <alignment horizontal="centerContinuous"/>
      <protection hidden="1"/>
    </xf>
    <xf numFmtId="0" fontId="24" fillId="2" borderId="0" xfId="0" applyFont="1" applyFill="1" applyProtection="1">
      <protection hidden="1"/>
    </xf>
    <xf numFmtId="0" fontId="25" fillId="2" borderId="0" xfId="0" applyFont="1" applyFill="1" applyProtection="1">
      <protection hidden="1"/>
    </xf>
    <xf numFmtId="0" fontId="25" fillId="2" borderId="0" xfId="0" applyFont="1" applyFill="1"/>
    <xf numFmtId="0" fontId="13" fillId="2" borderId="10" xfId="0" applyFont="1" applyFill="1" applyBorder="1" applyAlignment="1" applyProtection="1">
      <alignment horizontal="centerContinuous"/>
      <protection hidden="1"/>
    </xf>
    <xf numFmtId="0" fontId="0" fillId="2" borderId="12" xfId="0" applyFill="1" applyBorder="1" applyAlignment="1" applyProtection="1">
      <alignment horizontal="centerContinuous"/>
      <protection hidden="1"/>
    </xf>
    <xf numFmtId="0" fontId="0" fillId="2" borderId="13" xfId="0" applyFill="1" applyBorder="1" applyAlignment="1" applyProtection="1">
      <alignment horizontal="centerContinuous"/>
      <protection hidden="1"/>
    </xf>
    <xf numFmtId="0" fontId="13" fillId="2" borderId="12" xfId="0" applyFont="1" applyFill="1" applyBorder="1" applyAlignment="1" applyProtection="1">
      <alignment horizontal="centerContinuous"/>
      <protection hidden="1"/>
    </xf>
    <xf numFmtId="0" fontId="12" fillId="3" borderId="1" xfId="0" applyFont="1" applyFill="1" applyBorder="1" applyAlignment="1" applyProtection="1">
      <alignment horizontal="centerContinuous"/>
      <protection hidden="1"/>
    </xf>
    <xf numFmtId="0" fontId="0" fillId="3" borderId="2" xfId="0" applyFill="1" applyBorder="1" applyAlignment="1" applyProtection="1">
      <alignment horizontal="centerContinuous"/>
      <protection hidden="1"/>
    </xf>
    <xf numFmtId="0" fontId="13" fillId="3" borderId="2" xfId="0" applyFont="1" applyFill="1" applyBorder="1" applyAlignment="1" applyProtection="1">
      <alignment horizontal="centerContinuous"/>
      <protection hidden="1"/>
    </xf>
    <xf numFmtId="0" fontId="0" fillId="3" borderId="3" xfId="0" applyFill="1" applyBorder="1" applyAlignment="1" applyProtection="1">
      <alignment horizontal="centerContinuous"/>
      <protection hidden="1"/>
    </xf>
    <xf numFmtId="3" fontId="0" fillId="2" borderId="0" xfId="0" applyNumberFormat="1" applyFill="1" applyProtection="1">
      <protection hidden="1"/>
    </xf>
    <xf numFmtId="0" fontId="0" fillId="2" borderId="0" xfId="0" applyFill="1" applyAlignment="1" applyProtection="1">
      <alignment horizontal="right"/>
      <protection hidden="1"/>
    </xf>
    <xf numFmtId="0" fontId="14" fillId="3" borderId="4" xfId="0" applyFont="1" applyFill="1" applyBorder="1" applyAlignment="1" applyProtection="1">
      <alignment horizontal="centerContinuous"/>
      <protection hidden="1"/>
    </xf>
    <xf numFmtId="0" fontId="13" fillId="3" borderId="0" xfId="0" applyFont="1" applyFill="1" applyBorder="1" applyAlignment="1" applyProtection="1">
      <alignment horizontal="centerContinuous"/>
      <protection hidden="1"/>
    </xf>
    <xf numFmtId="0" fontId="14" fillId="3" borderId="0" xfId="0" applyFont="1" applyFill="1" applyBorder="1" applyAlignment="1" applyProtection="1">
      <alignment horizontal="centerContinuous"/>
      <protection hidden="1"/>
    </xf>
    <xf numFmtId="0" fontId="0" fillId="3" borderId="0" xfId="0" applyFill="1" applyBorder="1" applyAlignment="1" applyProtection="1">
      <alignment horizontal="centerContinuous"/>
      <protection hidden="1"/>
    </xf>
    <xf numFmtId="0" fontId="0" fillId="3" borderId="5" xfId="0" applyFill="1" applyBorder="1" applyAlignment="1" applyProtection="1">
      <alignment horizontal="centerContinuous"/>
      <protection hidden="1"/>
    </xf>
    <xf numFmtId="0" fontId="14" fillId="3" borderId="6" xfId="0" applyFont="1" applyFill="1" applyBorder="1" applyAlignment="1" applyProtection="1">
      <alignment horizontal="centerContinuous"/>
      <protection hidden="1"/>
    </xf>
    <xf numFmtId="0" fontId="13" fillId="3" borderId="7" xfId="0" applyFont="1" applyFill="1" applyBorder="1" applyAlignment="1" applyProtection="1">
      <alignment horizontal="centerContinuous"/>
      <protection hidden="1"/>
    </xf>
    <xf numFmtId="0" fontId="0" fillId="3" borderId="7" xfId="0" applyFill="1" applyBorder="1" applyAlignment="1" applyProtection="1">
      <alignment horizontal="centerContinuous"/>
      <protection hidden="1"/>
    </xf>
    <xf numFmtId="0" fontId="0" fillId="3" borderId="8" xfId="0" applyFill="1" applyBorder="1" applyAlignment="1" applyProtection="1">
      <alignment horizontal="centerContinuous"/>
      <protection hidden="1"/>
    </xf>
    <xf numFmtId="0" fontId="0" fillId="2" borderId="9" xfId="0" applyFill="1" applyBorder="1" applyAlignment="1" applyProtection="1">
      <alignment horizontal="right"/>
      <protection hidden="1"/>
    </xf>
    <xf numFmtId="0" fontId="35" fillId="2" borderId="10" xfId="0" applyFont="1" applyFill="1" applyBorder="1" applyProtection="1">
      <protection locked="0"/>
    </xf>
    <xf numFmtId="49" fontId="36" fillId="2" borderId="2" xfId="0" applyNumberFormat="1" applyFont="1" applyFill="1" applyBorder="1" applyProtection="1">
      <protection locked="0"/>
    </xf>
    <xf numFmtId="0" fontId="17" fillId="2" borderId="11" xfId="0" applyFont="1" applyFill="1" applyBorder="1" applyAlignment="1" applyProtection="1">
      <alignment horizontal="center"/>
      <protection hidden="1"/>
    </xf>
    <xf numFmtId="49" fontId="35" fillId="2" borderId="12" xfId="0" applyNumberFormat="1" applyFont="1" applyFill="1" applyBorder="1" applyAlignment="1" applyProtection="1">
      <alignment horizontal="left"/>
      <protection locked="0"/>
    </xf>
    <xf numFmtId="49" fontId="35" fillId="2" borderId="12" xfId="0" applyNumberFormat="1" applyFont="1" applyFill="1" applyBorder="1" applyProtection="1">
      <protection locked="0"/>
    </xf>
    <xf numFmtId="49" fontId="35" fillId="2" borderId="13" xfId="0" applyNumberFormat="1" applyFont="1" applyFill="1" applyBorder="1" applyProtection="1">
      <protection locked="0"/>
    </xf>
    <xf numFmtId="49" fontId="35" fillId="2" borderId="10" xfId="0" applyNumberFormat="1" applyFont="1" applyFill="1" applyBorder="1" applyAlignment="1" applyProtection="1">
      <protection locked="0"/>
    </xf>
    <xf numFmtId="0" fontId="17" fillId="2" borderId="9" xfId="0" applyFont="1" applyFill="1" applyBorder="1" applyAlignment="1" applyProtection="1">
      <alignment horizontal="center"/>
      <protection hidden="1"/>
    </xf>
    <xf numFmtId="49" fontId="35" fillId="2" borderId="11" xfId="0" applyNumberFormat="1" applyFont="1" applyFill="1" applyBorder="1" applyAlignment="1" applyProtection="1">
      <alignment horizontal="left"/>
      <protection locked="0"/>
    </xf>
    <xf numFmtId="0" fontId="18" fillId="2" borderId="11" xfId="0" applyFont="1" applyFill="1" applyBorder="1" applyAlignment="1" applyProtection="1">
      <alignment horizontal="center"/>
      <protection hidden="1"/>
    </xf>
    <xf numFmtId="49" fontId="35" fillId="2" borderId="11" xfId="0" applyNumberFormat="1" applyFont="1" applyFill="1" applyBorder="1" applyProtection="1">
      <protection locked="0"/>
    </xf>
    <xf numFmtId="0" fontId="37" fillId="2" borderId="4" xfId="0" applyFont="1" applyFill="1" applyBorder="1" applyProtection="1">
      <protection hidden="1"/>
    </xf>
    <xf numFmtId="0" fontId="38" fillId="2" borderId="0" xfId="0" applyFont="1" applyFill="1" applyBorder="1" applyProtection="1">
      <protection locked="0"/>
    </xf>
    <xf numFmtId="0" fontId="38" fillId="2" borderId="5" xfId="0" applyFont="1" applyFill="1" applyBorder="1" applyProtection="1">
      <protection locked="0"/>
    </xf>
    <xf numFmtId="0" fontId="0" fillId="2" borderId="4" xfId="0" applyFill="1" applyBorder="1" applyProtection="1">
      <protection hidden="1"/>
    </xf>
    <xf numFmtId="0" fontId="0" fillId="2" borderId="0" xfId="0" applyFill="1" applyBorder="1" applyAlignment="1" applyProtection="1">
      <alignment horizontal="right"/>
      <protection hidden="1"/>
    </xf>
    <xf numFmtId="0" fontId="38" fillId="4" borderId="14" xfId="0" applyFont="1" applyFill="1" applyBorder="1" applyAlignment="1" applyProtection="1">
      <alignment horizontal="center"/>
      <protection locked="0"/>
    </xf>
    <xf numFmtId="0" fontId="39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38" fillId="4" borderId="15" xfId="0" applyFont="1" applyFill="1" applyBorder="1" applyAlignment="1" applyProtection="1">
      <alignment horizontal="center"/>
      <protection locked="0"/>
    </xf>
    <xf numFmtId="0" fontId="38" fillId="4" borderId="16" xfId="0" applyFont="1" applyFill="1" applyBorder="1" applyAlignment="1" applyProtection="1">
      <alignment horizontal="center"/>
      <protection locked="0"/>
    </xf>
    <xf numFmtId="0" fontId="38" fillId="2" borderId="14" xfId="0" applyFont="1" applyFill="1" applyBorder="1" applyAlignment="1" applyProtection="1">
      <alignment horizontal="center"/>
      <protection hidden="1"/>
    </xf>
    <xf numFmtId="0" fontId="38" fillId="2" borderId="16" xfId="0" applyFont="1" applyFill="1" applyBorder="1" applyAlignment="1" applyProtection="1">
      <alignment horizontal="center"/>
      <protection hidden="1"/>
    </xf>
    <xf numFmtId="0" fontId="38" fillId="2" borderId="15" xfId="0" applyFont="1" applyFill="1" applyBorder="1" applyAlignment="1" applyProtection="1">
      <alignment horizontal="center"/>
      <protection hidden="1"/>
    </xf>
    <xf numFmtId="0" fontId="38" fillId="4" borderId="11" xfId="0" applyFont="1" applyFill="1" applyBorder="1" applyAlignment="1" applyProtection="1">
      <alignment horizontal="center"/>
      <protection locked="0"/>
    </xf>
    <xf numFmtId="164" fontId="38" fillId="2" borderId="14" xfId="0" applyNumberFormat="1" applyFont="1" applyFill="1" applyBorder="1" applyAlignment="1" applyProtection="1">
      <alignment horizontal="center"/>
      <protection hidden="1"/>
    </xf>
    <xf numFmtId="164" fontId="38" fillId="2" borderId="15" xfId="0" applyNumberFormat="1" applyFont="1" applyFill="1" applyBorder="1" applyAlignment="1" applyProtection="1">
      <alignment horizontal="center"/>
      <protection hidden="1"/>
    </xf>
    <xf numFmtId="0" fontId="1" fillId="2" borderId="6" xfId="0" applyFont="1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1" fillId="2" borderId="0" xfId="0" applyFont="1" applyFill="1" applyBorder="1" applyProtection="1">
      <protection hidden="1"/>
    </xf>
    <xf numFmtId="0" fontId="2" fillId="2" borderId="0" xfId="0" applyFont="1" applyFill="1" applyProtection="1">
      <protection hidden="1"/>
    </xf>
    <xf numFmtId="0" fontId="0" fillId="2" borderId="0" xfId="0" applyFont="1" applyFill="1" applyProtection="1">
      <protection hidden="1"/>
    </xf>
    <xf numFmtId="0" fontId="0" fillId="2" borderId="6" xfId="0" applyFill="1" applyBorder="1" applyProtection="1">
      <protection hidden="1"/>
    </xf>
    <xf numFmtId="0" fontId="1" fillId="2" borderId="7" xfId="0" applyFont="1" applyFill="1" applyBorder="1" applyProtection="1">
      <protection hidden="1"/>
    </xf>
    <xf numFmtId="0" fontId="40" fillId="2" borderId="4" xfId="0" applyFont="1" applyFill="1" applyBorder="1" applyProtection="1">
      <protection hidden="1"/>
    </xf>
    <xf numFmtId="0" fontId="0" fillId="2" borderId="4" xfId="0" applyFill="1" applyBorder="1" applyAlignment="1" applyProtection="1">
      <alignment horizontal="right"/>
      <protection hidden="1"/>
    </xf>
    <xf numFmtId="2" fontId="38" fillId="2" borderId="14" xfId="0" applyNumberFormat="1" applyFont="1" applyFill="1" applyBorder="1" applyAlignment="1" applyProtection="1">
      <alignment horizontal="center"/>
      <protection hidden="1"/>
    </xf>
    <xf numFmtId="0" fontId="26" fillId="2" borderId="8" xfId="0" applyFont="1" applyFill="1" applyBorder="1" applyAlignment="1" applyProtection="1">
      <alignment horizontal="right"/>
      <protection hidden="1"/>
    </xf>
    <xf numFmtId="0" fontId="40" fillId="2" borderId="1" xfId="0" applyFont="1" applyFill="1" applyBorder="1" applyProtection="1">
      <protection hidden="1"/>
    </xf>
    <xf numFmtId="0" fontId="0" fillId="2" borderId="2" xfId="0" applyFill="1" applyBorder="1" applyProtection="1">
      <protection hidden="1"/>
    </xf>
    <xf numFmtId="0" fontId="0" fillId="2" borderId="3" xfId="0" applyFill="1" applyBorder="1" applyProtection="1">
      <protection hidden="1"/>
    </xf>
    <xf numFmtId="164" fontId="38" fillId="2" borderId="16" xfId="0" applyNumberFormat="1" applyFont="1" applyFill="1" applyBorder="1" applyAlignment="1" applyProtection="1">
      <alignment horizontal="center"/>
      <protection hidden="1"/>
    </xf>
    <xf numFmtId="0" fontId="6" fillId="2" borderId="4" xfId="0" applyFont="1" applyFill="1" applyBorder="1" applyProtection="1">
      <protection hidden="1"/>
    </xf>
    <xf numFmtId="0" fontId="7" fillId="2" borderId="0" xfId="0" applyFont="1" applyFill="1" applyBorder="1" applyAlignment="1" applyProtection="1">
      <alignment horizontal="right"/>
      <protection hidden="1"/>
    </xf>
    <xf numFmtId="1" fontId="38" fillId="2" borderId="15" xfId="0" applyNumberFormat="1" applyFont="1" applyFill="1" applyBorder="1" applyAlignment="1" applyProtection="1">
      <alignment horizontal="center"/>
      <protection hidden="1"/>
    </xf>
    <xf numFmtId="2" fontId="38" fillId="2" borderId="16" xfId="0" applyNumberFormat="1" applyFont="1" applyFill="1" applyBorder="1" applyAlignment="1" applyProtection="1">
      <alignment horizontal="center"/>
      <protection hidden="1"/>
    </xf>
    <xf numFmtId="2" fontId="38" fillId="2" borderId="15" xfId="0" applyNumberFormat="1" applyFont="1" applyFill="1" applyBorder="1" applyAlignment="1" applyProtection="1">
      <alignment horizontal="center"/>
      <protection hidden="1"/>
    </xf>
    <xf numFmtId="0" fontId="0" fillId="2" borderId="0" xfId="0" applyFont="1" applyFill="1" applyBorder="1" applyProtection="1">
      <protection hidden="1"/>
    </xf>
    <xf numFmtId="0" fontId="38" fillId="2" borderId="17" xfId="0" applyFont="1" applyFill="1" applyBorder="1" applyAlignment="1" applyProtection="1">
      <alignment horizontal="center"/>
      <protection hidden="1"/>
    </xf>
    <xf numFmtId="0" fontId="0" fillId="2" borderId="0" xfId="0" applyFont="1" applyFill="1" applyBorder="1" applyAlignment="1" applyProtection="1">
      <alignment horizontal="right"/>
      <protection hidden="1"/>
    </xf>
    <xf numFmtId="0" fontId="38" fillId="2" borderId="11" xfId="0" applyFont="1" applyFill="1" applyBorder="1" applyAlignment="1" applyProtection="1">
      <alignment horizontal="center"/>
      <protection hidden="1"/>
    </xf>
    <xf numFmtId="165" fontId="38" fillId="2" borderId="16" xfId="0" applyNumberFormat="1" applyFont="1" applyFill="1" applyBorder="1" applyAlignment="1" applyProtection="1">
      <alignment horizontal="center"/>
      <protection hidden="1"/>
    </xf>
    <xf numFmtId="2" fontId="38" fillId="2" borderId="11" xfId="0" applyNumberFormat="1" applyFont="1" applyFill="1" applyBorder="1" applyAlignment="1" applyProtection="1">
      <alignment horizontal="center"/>
      <protection hidden="1"/>
    </xf>
    <xf numFmtId="166" fontId="38" fillId="2" borderId="16" xfId="0" applyNumberFormat="1" applyFont="1" applyFill="1" applyBorder="1" applyAlignment="1" applyProtection="1">
      <alignment horizontal="center"/>
      <protection hidden="1"/>
    </xf>
    <xf numFmtId="166" fontId="38" fillId="2" borderId="11" xfId="0" applyNumberFormat="1" applyFont="1" applyFill="1" applyBorder="1" applyAlignment="1" applyProtection="1">
      <alignment horizontal="center"/>
      <protection hidden="1"/>
    </xf>
    <xf numFmtId="164" fontId="38" fillId="2" borderId="11" xfId="0" applyNumberFormat="1" applyFont="1" applyFill="1" applyBorder="1" applyAlignment="1" applyProtection="1">
      <alignment horizontal="center"/>
      <protection hidden="1"/>
    </xf>
    <xf numFmtId="0" fontId="38" fillId="2" borderId="4" xfId="0" applyFont="1" applyFill="1" applyBorder="1" applyProtection="1">
      <protection locked="0"/>
    </xf>
    <xf numFmtId="0" fontId="38" fillId="2" borderId="6" xfId="0" applyFont="1" applyFill="1" applyBorder="1" applyProtection="1">
      <protection locked="0"/>
    </xf>
    <xf numFmtId="0" fontId="38" fillId="2" borderId="7" xfId="0" applyFont="1" applyFill="1" applyBorder="1" applyProtection="1">
      <protection locked="0"/>
    </xf>
    <xf numFmtId="0" fontId="38" fillId="2" borderId="8" xfId="0" applyFont="1" applyFill="1" applyBorder="1" applyProtection="1">
      <protection locked="0"/>
    </xf>
    <xf numFmtId="0" fontId="30" fillId="2" borderId="0" xfId="0" applyFont="1" applyFill="1" applyProtection="1">
      <protection hidden="1"/>
    </xf>
    <xf numFmtId="0" fontId="2" fillId="2" borderId="4" xfId="0" applyFont="1" applyFill="1" applyBorder="1" applyProtection="1">
      <protection hidden="1"/>
    </xf>
    <xf numFmtId="0" fontId="11" fillId="2" borderId="0" xfId="0" applyFont="1" applyFill="1" applyBorder="1" applyProtection="1">
      <protection hidden="1"/>
    </xf>
    <xf numFmtId="0" fontId="38" fillId="2" borderId="16" xfId="0" applyNumberFormat="1" applyFont="1" applyFill="1" applyBorder="1" applyAlignment="1" applyProtection="1">
      <alignment horizontal="center"/>
      <protection hidden="1"/>
    </xf>
    <xf numFmtId="0" fontId="38" fillId="2" borderId="0" xfId="0" applyFont="1" applyFill="1" applyBorder="1" applyAlignment="1" applyProtection="1">
      <alignment horizontal="center"/>
      <protection hidden="1"/>
    </xf>
    <xf numFmtId="0" fontId="38" fillId="4" borderId="11" xfId="0" applyFont="1" applyFill="1" applyBorder="1" applyAlignment="1" applyProtection="1">
      <alignment horizontal="center"/>
      <protection hidden="1"/>
    </xf>
    <xf numFmtId="0" fontId="0" fillId="2" borderId="4" xfId="0" applyFont="1" applyFill="1" applyBorder="1" applyAlignment="1" applyProtection="1">
      <alignment horizontal="right"/>
      <protection hidden="1"/>
    </xf>
    <xf numFmtId="164" fontId="42" fillId="2" borderId="11" xfId="0" applyNumberFormat="1" applyFont="1" applyFill="1" applyBorder="1" applyAlignment="1" applyProtection="1">
      <alignment horizontal="center"/>
      <protection hidden="1"/>
    </xf>
    <xf numFmtId="0" fontId="15" fillId="2" borderId="10" xfId="0" applyFont="1" applyFill="1" applyBorder="1" applyProtection="1">
      <protection hidden="1"/>
    </xf>
    <xf numFmtId="49" fontId="16" fillId="2" borderId="2" xfId="0" applyNumberFormat="1" applyFont="1" applyFill="1" applyBorder="1" applyProtection="1">
      <protection hidden="1"/>
    </xf>
    <xf numFmtId="49" fontId="15" fillId="2" borderId="12" xfId="0" applyNumberFormat="1" applyFont="1" applyFill="1" applyBorder="1" applyAlignment="1" applyProtection="1">
      <alignment horizontal="left"/>
      <protection hidden="1"/>
    </xf>
    <xf numFmtId="49" fontId="15" fillId="2" borderId="12" xfId="0" applyNumberFormat="1" applyFont="1" applyFill="1" applyBorder="1" applyProtection="1">
      <protection hidden="1"/>
    </xf>
    <xf numFmtId="49" fontId="15" fillId="2" borderId="13" xfId="0" applyNumberFormat="1" applyFont="1" applyFill="1" applyBorder="1" applyProtection="1">
      <protection hidden="1"/>
    </xf>
    <xf numFmtId="49" fontId="15" fillId="2" borderId="10" xfId="0" applyNumberFormat="1" applyFont="1" applyFill="1" applyBorder="1" applyAlignment="1" applyProtection="1">
      <protection hidden="1"/>
    </xf>
    <xf numFmtId="49" fontId="15" fillId="2" borderId="11" xfId="0" applyNumberFormat="1" applyFont="1" applyFill="1" applyBorder="1" applyAlignment="1" applyProtection="1">
      <alignment horizontal="left"/>
      <protection hidden="1"/>
    </xf>
    <xf numFmtId="49" fontId="15" fillId="2" borderId="11" xfId="0" applyNumberFormat="1" applyFont="1" applyFill="1" applyBorder="1" applyProtection="1">
      <protection hidden="1"/>
    </xf>
    <xf numFmtId="0" fontId="7" fillId="2" borderId="4" xfId="0" applyFont="1" applyFill="1" applyBorder="1" applyProtection="1">
      <protection hidden="1"/>
    </xf>
    <xf numFmtId="0" fontId="11" fillId="2" borderId="0" xfId="0" applyFont="1" applyFill="1" applyProtection="1">
      <protection hidden="1"/>
    </xf>
    <xf numFmtId="0" fontId="26" fillId="2" borderId="0" xfId="0" applyFont="1" applyFill="1" applyProtection="1">
      <protection hidden="1"/>
    </xf>
    <xf numFmtId="0" fontId="0" fillId="2" borderId="0" xfId="0" applyFill="1" applyBorder="1" applyAlignment="1">
      <alignment horizontal="right"/>
    </xf>
    <xf numFmtId="0" fontId="11" fillId="2" borderId="4" xfId="0" applyFont="1" applyFill="1" applyBorder="1" applyProtection="1">
      <protection hidden="1"/>
    </xf>
    <xf numFmtId="0" fontId="43" fillId="2" borderId="6" xfId="0" applyFont="1" applyFill="1" applyBorder="1" applyProtection="1">
      <protection hidden="1"/>
    </xf>
    <xf numFmtId="0" fontId="0" fillId="2" borderId="4" xfId="0" applyFill="1" applyBorder="1" applyAlignment="1" applyProtection="1">
      <protection hidden="1"/>
    </xf>
    <xf numFmtId="0" fontId="26" fillId="2" borderId="5" xfId="0" applyFont="1" applyFill="1" applyBorder="1" applyAlignment="1" applyProtection="1">
      <alignment horizontal="right"/>
      <protection hidden="1"/>
    </xf>
    <xf numFmtId="0" fontId="24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0" fillId="2" borderId="0" xfId="0" applyFill="1" applyBorder="1"/>
    <xf numFmtId="0" fontId="11" fillId="2" borderId="0" xfId="0" applyFont="1" applyFill="1" applyBorder="1"/>
    <xf numFmtId="0" fontId="23" fillId="2" borderId="18" xfId="0" applyFont="1" applyFill="1" applyBorder="1" applyAlignment="1" applyProtection="1">
      <alignment horizontal="centerContinuous"/>
      <protection hidden="1"/>
    </xf>
    <xf numFmtId="0" fontId="23" fillId="2" borderId="19" xfId="0" applyFont="1" applyFill="1" applyBorder="1" applyAlignment="1" applyProtection="1">
      <alignment horizontal="centerContinuous"/>
      <protection hidden="1"/>
    </xf>
    <xf numFmtId="0" fontId="23" fillId="2" borderId="20" xfId="0" applyFont="1" applyFill="1" applyBorder="1" applyAlignment="1" applyProtection="1">
      <alignment horizontal="centerContinuous"/>
      <protection hidden="1"/>
    </xf>
    <xf numFmtId="0" fontId="23" fillId="2" borderId="21" xfId="0" applyFont="1" applyFill="1" applyBorder="1" applyAlignment="1" applyProtection="1">
      <alignment horizontal="centerContinuous"/>
      <protection hidden="1"/>
    </xf>
    <xf numFmtId="0" fontId="23" fillId="2" borderId="22" xfId="0" applyFont="1" applyFill="1" applyBorder="1" applyAlignment="1" applyProtection="1">
      <alignment horizontal="centerContinuous"/>
      <protection hidden="1"/>
    </xf>
    <xf numFmtId="0" fontId="23" fillId="2" borderId="23" xfId="0" applyFont="1" applyFill="1" applyBorder="1" applyAlignment="1" applyProtection="1">
      <alignment horizontal="centerContinuous"/>
      <protection hidden="1"/>
    </xf>
    <xf numFmtId="0" fontId="23" fillId="2" borderId="24" xfId="0" applyFont="1" applyFill="1" applyBorder="1" applyAlignment="1" applyProtection="1">
      <alignment horizontal="centerContinuous"/>
      <protection hidden="1"/>
    </xf>
    <xf numFmtId="0" fontId="23" fillId="2" borderId="25" xfId="0" applyFont="1" applyFill="1" applyBorder="1" applyAlignment="1" applyProtection="1">
      <alignment horizontal="centerContinuous"/>
      <protection hidden="1"/>
    </xf>
    <xf numFmtId="0" fontId="23" fillId="2" borderId="26" xfId="0" applyFont="1" applyFill="1" applyBorder="1" applyAlignment="1" applyProtection="1">
      <alignment horizontal="centerContinuous"/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47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49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image" Target="../media/image5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590550</xdr:colOff>
      <xdr:row>6</xdr:row>
      <xdr:rowOff>47624</xdr:rowOff>
    </xdr:from>
    <xdr:ext cx="2124075" cy="1695944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0" y="1200149"/>
          <a:ext cx="2124075" cy="1695944"/>
        </a:xfrm>
        <a:prstGeom prst="rect">
          <a:avLst/>
        </a:prstGeom>
        <a:noFill/>
      </xdr:spPr>
    </xdr:pic>
    <xdr:clientData/>
  </xdr:oneCellAnchor>
  <xdr:twoCellAnchor>
    <xdr:from>
      <xdr:col>4</xdr:col>
      <xdr:colOff>533400</xdr:colOff>
      <xdr:row>15</xdr:row>
      <xdr:rowOff>38101</xdr:rowOff>
    </xdr:from>
    <xdr:to>
      <xdr:col>8</xdr:col>
      <xdr:colOff>257175</xdr:colOff>
      <xdr:row>18</xdr:row>
      <xdr:rowOff>76201</xdr:rowOff>
    </xdr:to>
    <xdr:sp macro="" textlink="">
      <xdr:nvSpPr>
        <xdr:cNvPr id="3" name="Text Box 48"/>
        <xdr:cNvSpPr txBox="1">
          <a:spLocks noChangeArrowheads="1"/>
        </xdr:cNvSpPr>
      </xdr:nvSpPr>
      <xdr:spPr bwMode="auto">
        <a:xfrm>
          <a:off x="3562350" y="300990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oneCellAnchor>
    <xdr:from>
      <xdr:col>5</xdr:col>
      <xdr:colOff>114301</xdr:colOff>
      <xdr:row>19</xdr:row>
      <xdr:rowOff>28575</xdr:rowOff>
    </xdr:from>
    <xdr:ext cx="2019300" cy="1630285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52851" y="3838575"/>
          <a:ext cx="2019300" cy="163028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15</xdr:row>
      <xdr:rowOff>57151</xdr:rowOff>
    </xdr:from>
    <xdr:to>
      <xdr:col>8</xdr:col>
      <xdr:colOff>238125</xdr:colOff>
      <xdr:row>18</xdr:row>
      <xdr:rowOff>95251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543300" y="2867026"/>
          <a:ext cx="2076450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1</xdr:colOff>
      <xdr:row>6</xdr:row>
      <xdr:rowOff>28576</xdr:rowOff>
    </xdr:from>
    <xdr:to>
      <xdr:col>8</xdr:col>
      <xdr:colOff>381000</xdr:colOff>
      <xdr:row>14</xdr:row>
      <xdr:rowOff>68338</xdr:rowOff>
    </xdr:to>
    <xdr:pic>
      <xdr:nvPicPr>
        <xdr:cNvPr id="163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38551" y="1123951"/>
          <a:ext cx="2124074" cy="166853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505093</xdr:colOff>
      <xdr:row>18</xdr:row>
      <xdr:rowOff>28575</xdr:rowOff>
    </xdr:from>
    <xdr:to>
      <xdr:col>8</xdr:col>
      <xdr:colOff>561975</xdr:colOff>
      <xdr:row>26</xdr:row>
      <xdr:rowOff>222025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34043" y="3409950"/>
          <a:ext cx="2409557" cy="1898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581025</xdr:colOff>
      <xdr:row>15</xdr:row>
      <xdr:rowOff>133351</xdr:rowOff>
    </xdr:from>
    <xdr:to>
      <xdr:col>8</xdr:col>
      <xdr:colOff>304800</xdr:colOff>
      <xdr:row>18</xdr:row>
      <xdr:rowOff>171451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09975" y="30765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50175</xdr:colOff>
      <xdr:row>6</xdr:row>
      <xdr:rowOff>161925</xdr:rowOff>
    </xdr:from>
    <xdr:to>
      <xdr:col>8</xdr:col>
      <xdr:colOff>285750</xdr:colOff>
      <xdr:row>14</xdr:row>
      <xdr:rowOff>142146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88725" y="1285875"/>
          <a:ext cx="1978650" cy="1608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76200</xdr:colOff>
      <xdr:row>19</xdr:row>
      <xdr:rowOff>19794</xdr:rowOff>
    </xdr:from>
    <xdr:to>
      <xdr:col>8</xdr:col>
      <xdr:colOff>365643</xdr:colOff>
      <xdr:row>27</xdr:row>
      <xdr:rowOff>65138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14750" y="3801219"/>
          <a:ext cx="2032518" cy="17503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504825</xdr:colOff>
      <xdr:row>15</xdr:row>
      <xdr:rowOff>19051</xdr:rowOff>
    </xdr:from>
    <xdr:to>
      <xdr:col>8</xdr:col>
      <xdr:colOff>228600</xdr:colOff>
      <xdr:row>18</xdr:row>
      <xdr:rowOff>57151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533775" y="2828926"/>
          <a:ext cx="2076450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4</xdr:col>
      <xdr:colOff>590551</xdr:colOff>
      <xdr:row>6</xdr:row>
      <xdr:rowOff>38100</xdr:rowOff>
    </xdr:from>
    <xdr:to>
      <xdr:col>8</xdr:col>
      <xdr:colOff>314325</xdr:colOff>
      <xdr:row>14</xdr:row>
      <xdr:rowOff>55899</xdr:rowOff>
    </xdr:to>
    <xdr:pic>
      <xdr:nvPicPr>
        <xdr:cNvPr id="2151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1" y="1133475"/>
          <a:ext cx="2076449" cy="164657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457199</xdr:colOff>
      <xdr:row>18</xdr:row>
      <xdr:rowOff>47626</xdr:rowOff>
    </xdr:from>
    <xdr:to>
      <xdr:col>8</xdr:col>
      <xdr:colOff>514349</xdr:colOff>
      <xdr:row>27</xdr:row>
      <xdr:rowOff>1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1707" b="2302"/>
        <a:stretch/>
      </xdr:blipFill>
      <xdr:spPr>
        <a:xfrm>
          <a:off x="3486149" y="3429001"/>
          <a:ext cx="2409825" cy="18859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85725</xdr:colOff>
      <xdr:row>15</xdr:row>
      <xdr:rowOff>28576</xdr:rowOff>
    </xdr:from>
    <xdr:to>
      <xdr:col>8</xdr:col>
      <xdr:colOff>419100</xdr:colOff>
      <xdr:row>18</xdr:row>
      <xdr:rowOff>66676</xdr:rowOff>
    </xdr:to>
    <xdr:sp macro="" textlink="">
      <xdr:nvSpPr>
        <xdr:cNvPr id="4" name="Text Box 48"/>
        <xdr:cNvSpPr txBox="1">
          <a:spLocks noChangeArrowheads="1"/>
        </xdr:cNvSpPr>
      </xdr:nvSpPr>
      <xdr:spPr bwMode="auto">
        <a:xfrm>
          <a:off x="3724275" y="29527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323850</xdr:colOff>
      <xdr:row>6</xdr:row>
      <xdr:rowOff>44738</xdr:rowOff>
    </xdr:from>
    <xdr:to>
      <xdr:col>8</xdr:col>
      <xdr:colOff>276225</xdr:colOff>
      <xdr:row>14</xdr:row>
      <xdr:rowOff>117264</xdr:rowOff>
    </xdr:to>
    <xdr:pic>
      <xdr:nvPicPr>
        <xdr:cNvPr id="2253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62400" y="1149638"/>
          <a:ext cx="1695450" cy="170130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295276</xdr:colOff>
      <xdr:row>18</xdr:row>
      <xdr:rowOff>58729</xdr:rowOff>
    </xdr:from>
    <xdr:to>
      <xdr:col>8</xdr:col>
      <xdr:colOff>437215</xdr:colOff>
      <xdr:row>27</xdr:row>
      <xdr:rowOff>134855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3826" y="3592504"/>
          <a:ext cx="1885014" cy="200970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14</xdr:row>
      <xdr:rowOff>104776</xdr:rowOff>
    </xdr:from>
    <xdr:to>
      <xdr:col>8</xdr:col>
      <xdr:colOff>523875</xdr:colOff>
      <xdr:row>17</xdr:row>
      <xdr:rowOff>142876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29050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523009</xdr:colOff>
      <xdr:row>6</xdr:row>
      <xdr:rowOff>9524</xdr:rowOff>
    </xdr:from>
    <xdr:to>
      <xdr:col>8</xdr:col>
      <xdr:colOff>561975</xdr:colOff>
      <xdr:row>14</xdr:row>
      <xdr:rowOff>53387</xdr:rowOff>
    </xdr:to>
    <xdr:pic>
      <xdr:nvPicPr>
        <xdr:cNvPr id="2458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1559" y="1114424"/>
          <a:ext cx="1782041" cy="167263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333376</xdr:colOff>
      <xdr:row>19</xdr:row>
      <xdr:rowOff>142875</xdr:rowOff>
    </xdr:from>
    <xdr:to>
      <xdr:col>8</xdr:col>
      <xdr:colOff>567963</xdr:colOff>
      <xdr:row>27</xdr:row>
      <xdr:rowOff>123825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2534" b="4856"/>
        <a:stretch/>
      </xdr:blipFill>
      <xdr:spPr>
        <a:xfrm>
          <a:off x="3971926" y="3905250"/>
          <a:ext cx="1977662" cy="16859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</xdr:row>
      <xdr:rowOff>180976</xdr:rowOff>
    </xdr:from>
    <xdr:to>
      <xdr:col>8</xdr:col>
      <xdr:colOff>295275</xdr:colOff>
      <xdr:row>18</xdr:row>
      <xdr:rowOff>28576</xdr:rowOff>
    </xdr:to>
    <xdr:sp macro="" textlink="">
      <xdr:nvSpPr>
        <xdr:cNvPr id="4" name="Text Box 48"/>
        <xdr:cNvSpPr txBox="1">
          <a:spLocks noChangeArrowheads="1"/>
        </xdr:cNvSpPr>
      </xdr:nvSpPr>
      <xdr:spPr bwMode="auto">
        <a:xfrm>
          <a:off x="3600450" y="29146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266699</xdr:colOff>
      <xdr:row>6</xdr:row>
      <xdr:rowOff>51744</xdr:rowOff>
    </xdr:from>
    <xdr:to>
      <xdr:col>8</xdr:col>
      <xdr:colOff>180975</xdr:colOff>
      <xdr:row>14</xdr:row>
      <xdr:rowOff>84330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49" y="1156644"/>
          <a:ext cx="1657351" cy="166136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238124</xdr:colOff>
      <xdr:row>18</xdr:row>
      <xdr:rowOff>31088</xdr:rowOff>
    </xdr:from>
    <xdr:to>
      <xdr:col>8</xdr:col>
      <xdr:colOff>257175</xdr:colOff>
      <xdr:row>27</xdr:row>
      <xdr:rowOff>116153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6674" y="3564863"/>
          <a:ext cx="1762126" cy="20186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14</xdr:row>
      <xdr:rowOff>123826</xdr:rowOff>
    </xdr:from>
    <xdr:to>
      <xdr:col>8</xdr:col>
      <xdr:colOff>533400</xdr:colOff>
      <xdr:row>17</xdr:row>
      <xdr:rowOff>161926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38575" y="285750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504825</xdr:colOff>
      <xdr:row>6</xdr:row>
      <xdr:rowOff>12528</xdr:rowOff>
    </xdr:from>
    <xdr:to>
      <xdr:col>8</xdr:col>
      <xdr:colOff>542925</xdr:colOff>
      <xdr:row>14</xdr:row>
      <xdr:rowOff>111125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117428"/>
          <a:ext cx="1781175" cy="1727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390525</xdr:colOff>
      <xdr:row>20</xdr:row>
      <xdr:rowOff>9525</xdr:rowOff>
    </xdr:from>
    <xdr:to>
      <xdr:col>8</xdr:col>
      <xdr:colOff>510811</xdr:colOff>
      <xdr:row>27</xdr:row>
      <xdr:rowOff>123825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2840" b="4591"/>
        <a:stretch/>
      </xdr:blipFill>
      <xdr:spPr>
        <a:xfrm>
          <a:off x="4029075" y="4000500"/>
          <a:ext cx="1863361" cy="15906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47626</xdr:rowOff>
    </xdr:from>
    <xdr:to>
      <xdr:col>8</xdr:col>
      <xdr:colOff>342900</xdr:colOff>
      <xdr:row>18</xdr:row>
      <xdr:rowOff>85726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48075" y="2867026"/>
          <a:ext cx="2076450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219074</xdr:colOff>
      <xdr:row>6</xdr:row>
      <xdr:rowOff>41003</xdr:rowOff>
    </xdr:from>
    <xdr:to>
      <xdr:col>8</xdr:col>
      <xdr:colOff>200025</xdr:colOff>
      <xdr:row>14</xdr:row>
      <xdr:rowOff>73821</xdr:rowOff>
    </xdr:to>
    <xdr:pic>
      <xdr:nvPicPr>
        <xdr:cNvPr id="3277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7624" y="1145903"/>
          <a:ext cx="1724026" cy="166159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146965</xdr:colOff>
      <xdr:row>18</xdr:row>
      <xdr:rowOff>114299</xdr:rowOff>
    </xdr:from>
    <xdr:to>
      <xdr:col>8</xdr:col>
      <xdr:colOff>323850</xdr:colOff>
      <xdr:row>26</xdr:row>
      <xdr:rowOff>219075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3002" b="1934"/>
        <a:stretch/>
      </xdr:blipFill>
      <xdr:spPr>
        <a:xfrm>
          <a:off x="3785515" y="3505199"/>
          <a:ext cx="1919960" cy="180975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19051</xdr:rowOff>
    </xdr:from>
    <xdr:to>
      <xdr:col>8</xdr:col>
      <xdr:colOff>342900</xdr:colOff>
      <xdr:row>18</xdr:row>
      <xdr:rowOff>57151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48075" y="294322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190500</xdr:colOff>
      <xdr:row>6</xdr:row>
      <xdr:rowOff>80633</xdr:rowOff>
    </xdr:from>
    <xdr:to>
      <xdr:col>8</xdr:col>
      <xdr:colOff>276225</xdr:colOff>
      <xdr:row>14</xdr:row>
      <xdr:rowOff>120912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185533"/>
          <a:ext cx="1828800" cy="1669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133351</xdr:colOff>
      <xdr:row>18</xdr:row>
      <xdr:rowOff>114300</xdr:rowOff>
    </xdr:from>
    <xdr:to>
      <xdr:col>8</xdr:col>
      <xdr:colOff>361950</xdr:colOff>
      <xdr:row>27</xdr:row>
      <xdr:rowOff>96317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71901" y="3648075"/>
          <a:ext cx="1971674" cy="191559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1</xdr:rowOff>
    </xdr:from>
    <xdr:to>
      <xdr:col>8</xdr:col>
      <xdr:colOff>342900</xdr:colOff>
      <xdr:row>18</xdr:row>
      <xdr:rowOff>38101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48075" y="29241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below.11</a:t>
          </a:r>
        </a:p>
      </xdr:txBody>
    </xdr:sp>
    <xdr:clientData/>
  </xdr:twoCellAnchor>
  <xdr:twoCellAnchor editAs="oneCell">
    <xdr:from>
      <xdr:col>5</xdr:col>
      <xdr:colOff>133349</xdr:colOff>
      <xdr:row>6</xdr:row>
      <xdr:rowOff>9525</xdr:rowOff>
    </xdr:from>
    <xdr:to>
      <xdr:col>8</xdr:col>
      <xdr:colOff>380999</xdr:colOff>
      <xdr:row>14</xdr:row>
      <xdr:rowOff>111125</xdr:rowOff>
    </xdr:to>
    <xdr:pic>
      <xdr:nvPicPr>
        <xdr:cNvPr id="7" name="Picture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2"/>
        <a:stretch/>
      </xdr:blipFill>
      <xdr:spPr bwMode="auto">
        <a:xfrm>
          <a:off x="3771899" y="1114425"/>
          <a:ext cx="1990725" cy="173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91661</xdr:colOff>
      <xdr:row>18</xdr:row>
      <xdr:rowOff>152400</xdr:rowOff>
    </xdr:from>
    <xdr:to>
      <xdr:col>8</xdr:col>
      <xdr:colOff>426322</xdr:colOff>
      <xdr:row>27</xdr:row>
      <xdr:rowOff>142875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3178" b="5143"/>
        <a:stretch/>
      </xdr:blipFill>
      <xdr:spPr>
        <a:xfrm>
          <a:off x="3730211" y="3686175"/>
          <a:ext cx="2077736" cy="1924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14</xdr:row>
      <xdr:rowOff>57151</xdr:rowOff>
    </xdr:from>
    <xdr:to>
      <xdr:col>8</xdr:col>
      <xdr:colOff>542925</xdr:colOff>
      <xdr:row>17</xdr:row>
      <xdr:rowOff>95251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48100" y="28098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6</xdr:col>
      <xdr:colOff>190500</xdr:colOff>
      <xdr:row>6</xdr:row>
      <xdr:rowOff>70955</xdr:rowOff>
    </xdr:from>
    <xdr:to>
      <xdr:col>8</xdr:col>
      <xdr:colOff>476251</xdr:colOff>
      <xdr:row>13</xdr:row>
      <xdr:rowOff>161791</xdr:rowOff>
    </xdr:to>
    <xdr:pic>
      <xdr:nvPicPr>
        <xdr:cNvPr id="512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38650" y="1194905"/>
          <a:ext cx="1419226" cy="152911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342899</xdr:colOff>
      <xdr:row>19</xdr:row>
      <xdr:rowOff>200737</xdr:rowOff>
    </xdr:from>
    <xdr:to>
      <xdr:col>8</xdr:col>
      <xdr:colOff>495299</xdr:colOff>
      <xdr:row>27</xdr:row>
      <xdr:rowOff>127865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81449" y="3963112"/>
          <a:ext cx="1895475" cy="163210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14</xdr:row>
      <xdr:rowOff>123826</xdr:rowOff>
    </xdr:from>
    <xdr:to>
      <xdr:col>8</xdr:col>
      <xdr:colOff>561975</xdr:colOff>
      <xdr:row>17</xdr:row>
      <xdr:rowOff>161926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67150" y="28479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6</xdr:col>
      <xdr:colOff>76200</xdr:colOff>
      <xdr:row>6</xdr:row>
      <xdr:rowOff>28575</xdr:rowOff>
    </xdr:from>
    <xdr:to>
      <xdr:col>8</xdr:col>
      <xdr:colOff>561975</xdr:colOff>
      <xdr:row>14</xdr:row>
      <xdr:rowOff>62250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4350" y="1133475"/>
          <a:ext cx="1619250" cy="1662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466725</xdr:colOff>
      <xdr:row>19</xdr:row>
      <xdr:rowOff>55941</xdr:rowOff>
    </xdr:from>
    <xdr:to>
      <xdr:col>8</xdr:col>
      <xdr:colOff>552450</xdr:colOff>
      <xdr:row>27</xdr:row>
      <xdr:rowOff>150386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05275" y="3808791"/>
          <a:ext cx="1828800" cy="179942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14</xdr:row>
      <xdr:rowOff>123826</xdr:rowOff>
    </xdr:from>
    <xdr:to>
      <xdr:col>8</xdr:col>
      <xdr:colOff>561975</xdr:colOff>
      <xdr:row>17</xdr:row>
      <xdr:rowOff>161926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67150" y="285750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561757</xdr:colOff>
      <xdr:row>6</xdr:row>
      <xdr:rowOff>47625</xdr:rowOff>
    </xdr:from>
    <xdr:to>
      <xdr:col>8</xdr:col>
      <xdr:colOff>552449</xdr:colOff>
      <xdr:row>14</xdr:row>
      <xdr:rowOff>37743</xdr:rowOff>
    </xdr:to>
    <xdr:pic>
      <xdr:nvPicPr>
        <xdr:cNvPr id="4404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00307" y="1152525"/>
          <a:ext cx="1733767" cy="161889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361014</xdr:colOff>
      <xdr:row>19</xdr:row>
      <xdr:rowOff>76199</xdr:rowOff>
    </xdr:from>
    <xdr:to>
      <xdr:col>8</xdr:col>
      <xdr:colOff>561974</xdr:colOff>
      <xdr:row>27</xdr:row>
      <xdr:rowOff>143685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99564" y="3838574"/>
          <a:ext cx="1944035" cy="177246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14</xdr:row>
      <xdr:rowOff>123826</xdr:rowOff>
    </xdr:from>
    <xdr:to>
      <xdr:col>8</xdr:col>
      <xdr:colOff>552450</xdr:colOff>
      <xdr:row>17</xdr:row>
      <xdr:rowOff>161926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57625" y="285750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421036</xdr:colOff>
      <xdr:row>6</xdr:row>
      <xdr:rowOff>9525</xdr:rowOff>
    </xdr:from>
    <xdr:to>
      <xdr:col>8</xdr:col>
      <xdr:colOff>457200</xdr:colOff>
      <xdr:row>14</xdr:row>
      <xdr:rowOff>111125</xdr:rowOff>
    </xdr:to>
    <xdr:pic>
      <xdr:nvPicPr>
        <xdr:cNvPr id="4813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59586" y="1114425"/>
          <a:ext cx="1779239" cy="1730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456953</xdr:colOff>
      <xdr:row>19</xdr:row>
      <xdr:rowOff>114300</xdr:rowOff>
    </xdr:from>
    <xdr:to>
      <xdr:col>8</xdr:col>
      <xdr:colOff>561105</xdr:colOff>
      <xdr:row>27</xdr:row>
      <xdr:rowOff>139457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503" y="3876675"/>
          <a:ext cx="1847227" cy="173013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28576</xdr:rowOff>
    </xdr:from>
    <xdr:to>
      <xdr:col>8</xdr:col>
      <xdr:colOff>342900</xdr:colOff>
      <xdr:row>18</xdr:row>
      <xdr:rowOff>66676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48075" y="29527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289341</xdr:colOff>
      <xdr:row>6</xdr:row>
      <xdr:rowOff>57150</xdr:rowOff>
    </xdr:from>
    <xdr:to>
      <xdr:col>8</xdr:col>
      <xdr:colOff>266700</xdr:colOff>
      <xdr:row>14</xdr:row>
      <xdr:rowOff>111878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7891" y="1162050"/>
          <a:ext cx="1720434" cy="1683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248602</xdr:colOff>
      <xdr:row>18</xdr:row>
      <xdr:rowOff>171450</xdr:rowOff>
    </xdr:from>
    <xdr:to>
      <xdr:col>8</xdr:col>
      <xdr:colOff>390525</xdr:colOff>
      <xdr:row>27</xdr:row>
      <xdr:rowOff>114300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3330" b="2959"/>
        <a:stretch/>
      </xdr:blipFill>
      <xdr:spPr>
        <a:xfrm>
          <a:off x="3887152" y="3705225"/>
          <a:ext cx="1884998" cy="18764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219075</xdr:colOff>
      <xdr:row>14</xdr:row>
      <xdr:rowOff>76201</xdr:rowOff>
    </xdr:from>
    <xdr:to>
      <xdr:col>8</xdr:col>
      <xdr:colOff>552450</xdr:colOff>
      <xdr:row>17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857625" y="28098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6</xdr:col>
      <xdr:colOff>1</xdr:colOff>
      <xdr:row>6</xdr:row>
      <xdr:rowOff>38075</xdr:rowOff>
    </xdr:from>
    <xdr:to>
      <xdr:col>8</xdr:col>
      <xdr:colOff>523876</xdr:colOff>
      <xdr:row>14</xdr:row>
      <xdr:rowOff>8041</xdr:rowOff>
    </xdr:to>
    <xdr:pic>
      <xdr:nvPicPr>
        <xdr:cNvPr id="4916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48151" y="1142975"/>
          <a:ext cx="1657350" cy="15987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352425</xdr:colOff>
      <xdr:row>19</xdr:row>
      <xdr:rowOff>76200</xdr:rowOff>
    </xdr:from>
    <xdr:to>
      <xdr:col>8</xdr:col>
      <xdr:colOff>561976</xdr:colOff>
      <xdr:row>27</xdr:row>
      <xdr:rowOff>138995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2699"/>
        <a:stretch/>
      </xdr:blipFill>
      <xdr:spPr>
        <a:xfrm>
          <a:off x="3990975" y="3838575"/>
          <a:ext cx="1952626" cy="176777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38101</xdr:rowOff>
    </xdr:from>
    <xdr:to>
      <xdr:col>8</xdr:col>
      <xdr:colOff>342900</xdr:colOff>
      <xdr:row>18</xdr:row>
      <xdr:rowOff>76201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48075" y="29622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151565</xdr:colOff>
      <xdr:row>6</xdr:row>
      <xdr:rowOff>38100</xdr:rowOff>
    </xdr:from>
    <xdr:to>
      <xdr:col>8</xdr:col>
      <xdr:colOff>190499</xdr:colOff>
      <xdr:row>14</xdr:row>
      <xdr:rowOff>153047</xdr:rowOff>
    </xdr:to>
    <xdr:pic>
      <xdr:nvPicPr>
        <xdr:cNvPr id="4096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90115" y="1143000"/>
          <a:ext cx="1782009" cy="174372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114977</xdr:colOff>
      <xdr:row>18</xdr:row>
      <xdr:rowOff>38100</xdr:rowOff>
    </xdr:from>
    <xdr:to>
      <xdr:col>8</xdr:col>
      <xdr:colOff>314325</xdr:colOff>
      <xdr:row>27</xdr:row>
      <xdr:rowOff>136796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53527" y="3571875"/>
          <a:ext cx="1942423" cy="203227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15</xdr:row>
      <xdr:rowOff>66676</xdr:rowOff>
    </xdr:from>
    <xdr:to>
      <xdr:col>8</xdr:col>
      <xdr:colOff>361950</xdr:colOff>
      <xdr:row>18</xdr:row>
      <xdr:rowOff>104776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724275" y="29908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175378</xdr:colOff>
      <xdr:row>6</xdr:row>
      <xdr:rowOff>66675</xdr:rowOff>
    </xdr:from>
    <xdr:to>
      <xdr:col>8</xdr:col>
      <xdr:colOff>371475</xdr:colOff>
      <xdr:row>14</xdr:row>
      <xdr:rowOff>135239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078" y="1171575"/>
          <a:ext cx="1939172" cy="1697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200024</xdr:colOff>
      <xdr:row>19</xdr:row>
      <xdr:rowOff>19050</xdr:rowOff>
    </xdr:from>
    <xdr:to>
      <xdr:col>8</xdr:col>
      <xdr:colOff>485774</xdr:colOff>
      <xdr:row>27</xdr:row>
      <xdr:rowOff>114300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t="2946" b="5506"/>
        <a:stretch/>
      </xdr:blipFill>
      <xdr:spPr>
        <a:xfrm>
          <a:off x="3895724" y="3781425"/>
          <a:ext cx="2028825" cy="1800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15</xdr:row>
      <xdr:rowOff>57151</xdr:rowOff>
    </xdr:from>
    <xdr:to>
      <xdr:col>8</xdr:col>
      <xdr:colOff>447675</xdr:colOff>
      <xdr:row>18</xdr:row>
      <xdr:rowOff>95251</xdr:rowOff>
    </xdr:to>
    <xdr:sp macro="" textlink="">
      <xdr:nvSpPr>
        <xdr:cNvPr id="6" name="Text Box 48"/>
        <xdr:cNvSpPr txBox="1">
          <a:spLocks noChangeArrowheads="1"/>
        </xdr:cNvSpPr>
      </xdr:nvSpPr>
      <xdr:spPr bwMode="auto">
        <a:xfrm>
          <a:off x="3752850" y="298132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366400</xdr:colOff>
      <xdr:row>6</xdr:row>
      <xdr:rowOff>57150</xdr:rowOff>
    </xdr:from>
    <xdr:to>
      <xdr:col>8</xdr:col>
      <xdr:colOff>271149</xdr:colOff>
      <xdr:row>14</xdr:row>
      <xdr:rowOff>92869</xdr:rowOff>
    </xdr:to>
    <xdr:pic>
      <xdr:nvPicPr>
        <xdr:cNvPr id="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4950" y="1162050"/>
          <a:ext cx="1647824" cy="166449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352425</xdr:colOff>
      <xdr:row>18</xdr:row>
      <xdr:rowOff>132014</xdr:rowOff>
    </xdr:from>
    <xdr:to>
      <xdr:col>8</xdr:col>
      <xdr:colOff>328298</xdr:colOff>
      <xdr:row>27</xdr:row>
      <xdr:rowOff>130063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90975" y="3665789"/>
          <a:ext cx="1718948" cy="1931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14</xdr:row>
      <xdr:rowOff>47626</xdr:rowOff>
    </xdr:from>
    <xdr:to>
      <xdr:col>8</xdr:col>
      <xdr:colOff>342900</xdr:colOff>
      <xdr:row>17</xdr:row>
      <xdr:rowOff>85726</xdr:rowOff>
    </xdr:to>
    <xdr:sp macro="" textlink="">
      <xdr:nvSpPr>
        <xdr:cNvPr id="5" name="Text Box 48"/>
        <xdr:cNvSpPr txBox="1">
          <a:spLocks noChangeArrowheads="1"/>
        </xdr:cNvSpPr>
      </xdr:nvSpPr>
      <xdr:spPr bwMode="auto">
        <a:xfrm>
          <a:off x="3648075" y="278130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219075</xdr:colOff>
      <xdr:row>6</xdr:row>
      <xdr:rowOff>85725</xdr:rowOff>
    </xdr:from>
    <xdr:to>
      <xdr:col>8</xdr:col>
      <xdr:colOff>114300</xdr:colOff>
      <xdr:row>13</xdr:row>
      <xdr:rowOff>161523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7625" y="1190625"/>
          <a:ext cx="1638300" cy="151407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182927</xdr:colOff>
      <xdr:row>18</xdr:row>
      <xdr:rowOff>104775</xdr:rowOff>
    </xdr:from>
    <xdr:to>
      <xdr:col>8</xdr:col>
      <xdr:colOff>123825</xdr:colOff>
      <xdr:row>27</xdr:row>
      <xdr:rowOff>94537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21477" y="3638550"/>
          <a:ext cx="1683973" cy="19233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14</xdr:row>
      <xdr:rowOff>76201</xdr:rowOff>
    </xdr:from>
    <xdr:to>
      <xdr:col>8</xdr:col>
      <xdr:colOff>238125</xdr:colOff>
      <xdr:row>17</xdr:row>
      <xdr:rowOff>114301</xdr:rowOff>
    </xdr:to>
    <xdr:sp macro="" textlink="">
      <xdr:nvSpPr>
        <xdr:cNvPr id="5" name="Text Box 48"/>
        <xdr:cNvSpPr txBox="1">
          <a:spLocks noChangeArrowheads="1"/>
        </xdr:cNvSpPr>
      </xdr:nvSpPr>
      <xdr:spPr bwMode="auto">
        <a:xfrm>
          <a:off x="3543300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152400</xdr:colOff>
      <xdr:row>6</xdr:row>
      <xdr:rowOff>133350</xdr:rowOff>
    </xdr:from>
    <xdr:to>
      <xdr:col>8</xdr:col>
      <xdr:colOff>190500</xdr:colOff>
      <xdr:row>13</xdr:row>
      <xdr:rowOff>159578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90950" y="1266825"/>
          <a:ext cx="1781175" cy="146450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536216</xdr:colOff>
      <xdr:row>18</xdr:row>
      <xdr:rowOff>85725</xdr:rowOff>
    </xdr:from>
    <xdr:to>
      <xdr:col>8</xdr:col>
      <xdr:colOff>497459</xdr:colOff>
      <xdr:row>27</xdr:row>
      <xdr:rowOff>109322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5166" y="3648075"/>
          <a:ext cx="2313918" cy="1957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14</xdr:row>
      <xdr:rowOff>76201</xdr:rowOff>
    </xdr:from>
    <xdr:to>
      <xdr:col>8</xdr:col>
      <xdr:colOff>342900</xdr:colOff>
      <xdr:row>17</xdr:row>
      <xdr:rowOff>114301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09975" y="2838451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276225</xdr:colOff>
      <xdr:row>18</xdr:row>
      <xdr:rowOff>54240</xdr:rowOff>
    </xdr:from>
    <xdr:to>
      <xdr:col>8</xdr:col>
      <xdr:colOff>251650</xdr:colOff>
      <xdr:row>26</xdr:row>
      <xdr:rowOff>142833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76675" y="3435615"/>
          <a:ext cx="1718500" cy="1793568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6</xdr:row>
      <xdr:rowOff>66675</xdr:rowOff>
    </xdr:from>
    <xdr:to>
      <xdr:col>8</xdr:col>
      <xdr:colOff>104775</xdr:colOff>
      <xdr:row>13</xdr:row>
      <xdr:rowOff>102556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43350" y="1162050"/>
          <a:ext cx="1504950" cy="147415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15</xdr:row>
      <xdr:rowOff>28576</xdr:rowOff>
    </xdr:from>
    <xdr:to>
      <xdr:col>8</xdr:col>
      <xdr:colOff>342900</xdr:colOff>
      <xdr:row>18</xdr:row>
      <xdr:rowOff>66676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648075" y="2847976"/>
          <a:ext cx="2076450" cy="609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219075</xdr:colOff>
      <xdr:row>6</xdr:row>
      <xdr:rowOff>28575</xdr:rowOff>
    </xdr:from>
    <xdr:to>
      <xdr:col>8</xdr:col>
      <xdr:colOff>219075</xdr:colOff>
      <xdr:row>14</xdr:row>
      <xdr:rowOff>66651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7625" y="1133475"/>
          <a:ext cx="1743075" cy="166685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257081</xdr:colOff>
      <xdr:row>18</xdr:row>
      <xdr:rowOff>95250</xdr:rowOff>
    </xdr:from>
    <xdr:to>
      <xdr:col>8</xdr:col>
      <xdr:colOff>247650</xdr:colOff>
      <xdr:row>26</xdr:row>
      <xdr:rowOff>220081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95631" y="3486150"/>
          <a:ext cx="1733644" cy="18298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14</xdr:row>
      <xdr:rowOff>114301</xdr:rowOff>
    </xdr:from>
    <xdr:to>
      <xdr:col>8</xdr:col>
      <xdr:colOff>342900</xdr:colOff>
      <xdr:row>17</xdr:row>
      <xdr:rowOff>152401</xdr:rowOff>
    </xdr:to>
    <xdr:sp macro="" textlink="">
      <xdr:nvSpPr>
        <xdr:cNvPr id="5" name="Text Box 48"/>
        <xdr:cNvSpPr txBox="1">
          <a:spLocks noChangeArrowheads="1"/>
        </xdr:cNvSpPr>
      </xdr:nvSpPr>
      <xdr:spPr bwMode="auto">
        <a:xfrm>
          <a:off x="3648075" y="284797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381000</xdr:colOff>
      <xdr:row>6</xdr:row>
      <xdr:rowOff>47624</xdr:rowOff>
    </xdr:from>
    <xdr:to>
      <xdr:col>8</xdr:col>
      <xdr:colOff>133350</xdr:colOff>
      <xdr:row>14</xdr:row>
      <xdr:rowOff>3559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9550" y="1152524"/>
          <a:ext cx="1495425" cy="158471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295085</xdr:colOff>
      <xdr:row>17</xdr:row>
      <xdr:rowOff>142874</xdr:rowOff>
    </xdr:from>
    <xdr:to>
      <xdr:col>8</xdr:col>
      <xdr:colOff>247650</xdr:colOff>
      <xdr:row>26</xdr:row>
      <xdr:rowOff>206660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33635" y="3486149"/>
          <a:ext cx="1695640" cy="19592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552450</xdr:colOff>
      <xdr:row>14</xdr:row>
      <xdr:rowOff>180976</xdr:rowOff>
    </xdr:from>
    <xdr:to>
      <xdr:col>8</xdr:col>
      <xdr:colOff>276225</xdr:colOff>
      <xdr:row>18</xdr:row>
      <xdr:rowOff>28576</xdr:rowOff>
    </xdr:to>
    <xdr:sp macro="" textlink="">
      <xdr:nvSpPr>
        <xdr:cNvPr id="2" name="Text Box 48"/>
        <xdr:cNvSpPr txBox="1">
          <a:spLocks noChangeArrowheads="1"/>
        </xdr:cNvSpPr>
      </xdr:nvSpPr>
      <xdr:spPr bwMode="auto">
        <a:xfrm>
          <a:off x="3581400" y="2905126"/>
          <a:ext cx="2076450" cy="647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Note: Minimum cap dimensions shown above.  Actual dimensions provided to the left referencing figure below.</a:t>
          </a:r>
        </a:p>
      </xdr:txBody>
    </xdr:sp>
    <xdr:clientData/>
  </xdr:twoCellAnchor>
  <xdr:twoCellAnchor editAs="oneCell">
    <xdr:from>
      <xdr:col>5</xdr:col>
      <xdr:colOff>3640</xdr:colOff>
      <xdr:row>6</xdr:row>
      <xdr:rowOff>19049</xdr:rowOff>
    </xdr:from>
    <xdr:to>
      <xdr:col>8</xdr:col>
      <xdr:colOff>552450</xdr:colOff>
      <xdr:row>14</xdr:row>
      <xdr:rowOff>95027</xdr:rowOff>
    </xdr:to>
    <xdr:pic>
      <xdr:nvPicPr>
        <xdr:cNvPr id="1537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42190" y="1114424"/>
          <a:ext cx="2291885" cy="170475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542925</xdr:colOff>
      <xdr:row>18</xdr:row>
      <xdr:rowOff>67447</xdr:rowOff>
    </xdr:from>
    <xdr:to>
      <xdr:col>8</xdr:col>
      <xdr:colOff>533400</xdr:colOff>
      <xdr:row>27</xdr:row>
      <xdr:rowOff>8804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71875" y="3591697"/>
          <a:ext cx="2343150" cy="18749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8"/>
  <sheetViews>
    <sheetView tabSelected="1" zoomScaleNormal="100" workbookViewId="0">
      <selection activeCell="A166" sqref="A166"/>
    </sheetView>
  </sheetViews>
  <sheetFormatPr defaultRowHeight="15" x14ac:dyDescent="0.25"/>
  <cols>
    <col min="1" max="16384" width="9.140625" style="1"/>
  </cols>
  <sheetData>
    <row r="1" spans="1:11" ht="15.75" x14ac:dyDescent="0.25">
      <c r="A1" s="5" t="s">
        <v>159</v>
      </c>
      <c r="B1" s="6"/>
      <c r="C1" s="6"/>
      <c r="D1" s="6"/>
      <c r="E1" s="6"/>
      <c r="F1" s="6"/>
      <c r="G1" s="6"/>
      <c r="H1" s="6"/>
      <c r="I1" s="6"/>
      <c r="J1" s="6"/>
      <c r="K1" s="4"/>
    </row>
    <row r="2" spans="1:11" x14ac:dyDescent="0.25">
      <c r="A2" s="7"/>
      <c r="B2" s="6"/>
      <c r="C2" s="6"/>
      <c r="D2" s="6"/>
      <c r="E2" s="6"/>
      <c r="F2" s="6"/>
      <c r="G2" s="6"/>
      <c r="H2" s="6"/>
      <c r="I2" s="6"/>
      <c r="J2" s="6"/>
      <c r="K2" s="4"/>
    </row>
    <row r="3" spans="1:11" x14ac:dyDescent="0.25">
      <c r="A3" s="8" t="s">
        <v>149</v>
      </c>
      <c r="B3" s="4"/>
      <c r="C3" s="4"/>
      <c r="D3" s="4"/>
      <c r="E3" s="4"/>
      <c r="F3" s="4"/>
      <c r="G3" s="4"/>
      <c r="H3" s="4"/>
      <c r="I3" s="4"/>
      <c r="J3" s="4"/>
      <c r="K3" s="4"/>
    </row>
    <row r="4" spans="1:1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4"/>
    </row>
    <row r="5" spans="1:11" s="10" customFormat="1" ht="12" x14ac:dyDescent="0.2">
      <c r="A5" s="3" t="s">
        <v>186</v>
      </c>
      <c r="B5" s="3"/>
      <c r="C5" s="3"/>
      <c r="D5" s="3"/>
      <c r="E5" s="3"/>
      <c r="F5" s="3"/>
      <c r="G5" s="3"/>
      <c r="H5" s="3"/>
      <c r="I5" s="3"/>
      <c r="J5" s="3"/>
      <c r="K5" s="9"/>
    </row>
    <row r="6" spans="1:11" s="10" customFormat="1" ht="12" x14ac:dyDescent="0.2">
      <c r="A6" s="3" t="s">
        <v>301</v>
      </c>
      <c r="B6" s="3"/>
      <c r="C6" s="3"/>
      <c r="D6" s="3"/>
      <c r="E6" s="3"/>
      <c r="F6" s="3"/>
      <c r="G6" s="3"/>
      <c r="H6" s="3"/>
      <c r="I6" s="3"/>
      <c r="J6" s="3"/>
      <c r="K6" s="9"/>
    </row>
    <row r="7" spans="1:11" s="10" customFormat="1" ht="12" x14ac:dyDescent="0.2">
      <c r="A7" s="3" t="s">
        <v>302</v>
      </c>
      <c r="B7" s="3"/>
      <c r="C7" s="3"/>
      <c r="D7" s="3"/>
      <c r="E7" s="3"/>
      <c r="F7" s="3"/>
      <c r="G7" s="3"/>
      <c r="H7" s="3"/>
      <c r="I7" s="3"/>
      <c r="J7" s="3"/>
      <c r="K7" s="9"/>
    </row>
    <row r="8" spans="1:11" s="10" customFormat="1" ht="12" x14ac:dyDescent="0.2">
      <c r="A8" s="3" t="s">
        <v>358</v>
      </c>
      <c r="B8" s="3"/>
      <c r="C8" s="3"/>
      <c r="D8" s="3"/>
      <c r="E8" s="3"/>
      <c r="F8" s="3"/>
      <c r="G8" s="3"/>
      <c r="H8" s="3"/>
      <c r="I8" s="3"/>
      <c r="J8" s="3"/>
      <c r="K8" s="9"/>
    </row>
    <row r="9" spans="1:11" s="10" customFormat="1" ht="12" x14ac:dyDescent="0.2">
      <c r="A9" s="3" t="s">
        <v>187</v>
      </c>
      <c r="B9" s="3"/>
      <c r="C9" s="3"/>
      <c r="D9" s="3"/>
      <c r="E9" s="3"/>
      <c r="F9" s="3"/>
      <c r="G9" s="3"/>
      <c r="H9" s="3"/>
      <c r="I9" s="3"/>
      <c r="J9" s="3"/>
      <c r="K9" s="9"/>
    </row>
    <row r="10" spans="1:11" s="10" customFormat="1" ht="12" x14ac:dyDescent="0.2">
      <c r="A10" s="9" t="s">
        <v>188</v>
      </c>
      <c r="B10" s="9"/>
      <c r="C10" s="9"/>
      <c r="D10" s="9"/>
      <c r="E10" s="9"/>
      <c r="F10" s="9"/>
      <c r="G10" s="9"/>
      <c r="H10" s="9"/>
      <c r="I10" s="9"/>
      <c r="J10" s="9"/>
      <c r="K10" s="9"/>
    </row>
    <row r="11" spans="1:11" s="10" customFormat="1" ht="12" x14ac:dyDescent="0.2">
      <c r="A11" s="9" t="s">
        <v>359</v>
      </c>
      <c r="B11" s="9"/>
      <c r="C11" s="9"/>
      <c r="D11" s="9"/>
      <c r="E11" s="9"/>
      <c r="F11" s="9"/>
      <c r="G11" s="9"/>
      <c r="H11" s="9"/>
      <c r="I11" s="9"/>
      <c r="J11" s="9"/>
      <c r="K11" s="9"/>
    </row>
    <row r="12" spans="1:11" s="10" customFormat="1" ht="13.5" x14ac:dyDescent="0.25">
      <c r="A12" s="9" t="s">
        <v>361</v>
      </c>
      <c r="B12" s="9"/>
      <c r="C12" s="9"/>
      <c r="D12" s="9"/>
      <c r="E12" s="9"/>
      <c r="F12" s="9"/>
      <c r="G12" s="9"/>
      <c r="H12" s="9"/>
      <c r="I12" s="9"/>
      <c r="J12" s="9"/>
      <c r="K12" s="9"/>
    </row>
    <row r="13" spans="1:11" s="10" customFormat="1" ht="12" x14ac:dyDescent="0.2">
      <c r="A13" s="9" t="s">
        <v>360</v>
      </c>
      <c r="B13" s="9"/>
      <c r="C13" s="9"/>
      <c r="D13" s="9"/>
      <c r="E13" s="9"/>
      <c r="F13" s="9"/>
      <c r="G13" s="9"/>
      <c r="H13" s="9"/>
      <c r="I13" s="9"/>
      <c r="J13" s="9"/>
      <c r="K13" s="9"/>
    </row>
    <row r="14" spans="1:11" s="10" customFormat="1" ht="12" x14ac:dyDescent="0.2">
      <c r="A14" s="9" t="s">
        <v>380</v>
      </c>
      <c r="B14" s="9"/>
      <c r="C14" s="9"/>
      <c r="D14" s="9"/>
      <c r="E14" s="9"/>
      <c r="F14" s="9"/>
      <c r="G14" s="9"/>
      <c r="H14" s="9"/>
      <c r="I14" s="9"/>
      <c r="J14" s="9"/>
      <c r="K14" s="9"/>
    </row>
    <row r="15" spans="1:11" s="10" customFormat="1" ht="12" x14ac:dyDescent="0.2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</row>
    <row r="16" spans="1:11" x14ac:dyDescent="0.25">
      <c r="A16" s="3" t="s">
        <v>190</v>
      </c>
      <c r="B16" s="3"/>
      <c r="C16" s="3"/>
      <c r="D16" s="3"/>
      <c r="E16" s="3"/>
      <c r="F16" s="3"/>
      <c r="G16" s="3"/>
      <c r="H16" s="3"/>
      <c r="I16" s="3"/>
      <c r="J16" s="3"/>
      <c r="K16" s="4"/>
    </row>
    <row r="17" spans="1:1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4"/>
    </row>
    <row r="18" spans="1:11" x14ac:dyDescent="0.25">
      <c r="A18" s="11" t="s">
        <v>150</v>
      </c>
      <c r="B18" s="12"/>
      <c r="C18" s="13"/>
      <c r="D18" s="14" t="s">
        <v>151</v>
      </c>
      <c r="E18" s="12"/>
      <c r="F18" s="12"/>
      <c r="G18" s="12"/>
      <c r="H18" s="12"/>
      <c r="I18" s="12"/>
      <c r="J18" s="13"/>
      <c r="K18" s="4"/>
    </row>
    <row r="19" spans="1:11" x14ac:dyDescent="0.25">
      <c r="A19" s="121" t="s">
        <v>152</v>
      </c>
      <c r="B19" s="122"/>
      <c r="C19" s="123"/>
      <c r="D19" s="121" t="s">
        <v>153</v>
      </c>
      <c r="E19" s="122"/>
      <c r="F19" s="122"/>
      <c r="G19" s="122"/>
      <c r="H19" s="122"/>
      <c r="I19" s="122"/>
      <c r="J19" s="123"/>
      <c r="K19" s="4"/>
    </row>
    <row r="20" spans="1:11" x14ac:dyDescent="0.25">
      <c r="A20" s="124" t="s">
        <v>160</v>
      </c>
      <c r="B20" s="125"/>
      <c r="C20" s="126"/>
      <c r="D20" s="124" t="s">
        <v>386</v>
      </c>
      <c r="E20" s="125"/>
      <c r="F20" s="125"/>
      <c r="G20" s="125"/>
      <c r="H20" s="125"/>
      <c r="I20" s="125"/>
      <c r="J20" s="126"/>
      <c r="K20" s="4"/>
    </row>
    <row r="21" spans="1:11" x14ac:dyDescent="0.25">
      <c r="A21" s="124" t="s">
        <v>161</v>
      </c>
      <c r="B21" s="125"/>
      <c r="C21" s="126"/>
      <c r="D21" s="124" t="s">
        <v>387</v>
      </c>
      <c r="E21" s="125"/>
      <c r="F21" s="125"/>
      <c r="G21" s="125"/>
      <c r="H21" s="125"/>
      <c r="I21" s="125"/>
      <c r="J21" s="126"/>
      <c r="K21" s="4"/>
    </row>
    <row r="22" spans="1:11" x14ac:dyDescent="0.25">
      <c r="A22" s="124" t="s">
        <v>162</v>
      </c>
      <c r="B22" s="125"/>
      <c r="C22" s="126"/>
      <c r="D22" s="124" t="s">
        <v>388</v>
      </c>
      <c r="E22" s="125"/>
      <c r="F22" s="125"/>
      <c r="G22" s="125"/>
      <c r="H22" s="125"/>
      <c r="I22" s="125"/>
      <c r="J22" s="126"/>
      <c r="K22" s="4"/>
    </row>
    <row r="23" spans="1:11" x14ac:dyDescent="0.25">
      <c r="A23" s="124" t="s">
        <v>163</v>
      </c>
      <c r="B23" s="125"/>
      <c r="C23" s="126"/>
      <c r="D23" s="124" t="s">
        <v>389</v>
      </c>
      <c r="E23" s="125"/>
      <c r="F23" s="125"/>
      <c r="G23" s="125"/>
      <c r="H23" s="125"/>
      <c r="I23" s="125"/>
      <c r="J23" s="126"/>
      <c r="K23" s="4"/>
    </row>
    <row r="24" spans="1:11" x14ac:dyDescent="0.25">
      <c r="A24" s="124" t="s">
        <v>164</v>
      </c>
      <c r="B24" s="125"/>
      <c r="C24" s="126"/>
      <c r="D24" s="124" t="s">
        <v>390</v>
      </c>
      <c r="E24" s="125"/>
      <c r="F24" s="125"/>
      <c r="G24" s="125"/>
      <c r="H24" s="125"/>
      <c r="I24" s="125"/>
      <c r="J24" s="126"/>
      <c r="K24" s="4"/>
    </row>
    <row r="25" spans="1:11" x14ac:dyDescent="0.25">
      <c r="A25" s="124" t="s">
        <v>165</v>
      </c>
      <c r="B25" s="125"/>
      <c r="C25" s="126"/>
      <c r="D25" s="124" t="s">
        <v>391</v>
      </c>
      <c r="E25" s="125"/>
      <c r="F25" s="125"/>
      <c r="G25" s="125"/>
      <c r="H25" s="125"/>
      <c r="I25" s="125"/>
      <c r="J25" s="126"/>
      <c r="K25" s="4"/>
    </row>
    <row r="26" spans="1:11" x14ac:dyDescent="0.25">
      <c r="A26" s="124" t="s">
        <v>166</v>
      </c>
      <c r="B26" s="125"/>
      <c r="C26" s="126"/>
      <c r="D26" s="124" t="s">
        <v>392</v>
      </c>
      <c r="E26" s="125"/>
      <c r="F26" s="125"/>
      <c r="G26" s="125"/>
      <c r="H26" s="125"/>
      <c r="I26" s="125"/>
      <c r="J26" s="126"/>
      <c r="K26" s="4"/>
    </row>
    <row r="27" spans="1:11" x14ac:dyDescent="0.25">
      <c r="A27" s="124" t="s">
        <v>167</v>
      </c>
      <c r="B27" s="125"/>
      <c r="C27" s="126"/>
      <c r="D27" s="124" t="s">
        <v>393</v>
      </c>
      <c r="E27" s="125"/>
      <c r="F27" s="125"/>
      <c r="G27" s="125"/>
      <c r="H27" s="125"/>
      <c r="I27" s="125"/>
      <c r="J27" s="126"/>
      <c r="K27" s="4"/>
    </row>
    <row r="28" spans="1:11" x14ac:dyDescent="0.25">
      <c r="A28" s="124" t="s">
        <v>168</v>
      </c>
      <c r="B28" s="125"/>
      <c r="C28" s="126"/>
      <c r="D28" s="124" t="s">
        <v>394</v>
      </c>
      <c r="E28" s="125"/>
      <c r="F28" s="125"/>
      <c r="G28" s="125"/>
      <c r="H28" s="125"/>
      <c r="I28" s="125"/>
      <c r="J28" s="126"/>
      <c r="K28" s="4"/>
    </row>
    <row r="29" spans="1:11" x14ac:dyDescent="0.25">
      <c r="A29" s="124" t="s">
        <v>169</v>
      </c>
      <c r="B29" s="125"/>
      <c r="C29" s="126"/>
      <c r="D29" s="124" t="s">
        <v>395</v>
      </c>
      <c r="E29" s="125"/>
      <c r="F29" s="125"/>
      <c r="G29" s="125"/>
      <c r="H29" s="125"/>
      <c r="I29" s="125"/>
      <c r="J29" s="126"/>
      <c r="K29" s="4"/>
    </row>
    <row r="30" spans="1:11" x14ac:dyDescent="0.25">
      <c r="A30" s="124" t="s">
        <v>170</v>
      </c>
      <c r="B30" s="125"/>
      <c r="C30" s="126"/>
      <c r="D30" s="124" t="s">
        <v>396</v>
      </c>
      <c r="E30" s="125"/>
      <c r="F30" s="125"/>
      <c r="G30" s="125"/>
      <c r="H30" s="125"/>
      <c r="I30" s="125"/>
      <c r="J30" s="126"/>
      <c r="K30" s="4"/>
    </row>
    <row r="31" spans="1:11" x14ac:dyDescent="0.25">
      <c r="A31" s="124" t="s">
        <v>171</v>
      </c>
      <c r="B31" s="125"/>
      <c r="C31" s="126"/>
      <c r="D31" s="124" t="s">
        <v>397</v>
      </c>
      <c r="E31" s="125"/>
      <c r="F31" s="125"/>
      <c r="G31" s="125"/>
      <c r="H31" s="125"/>
      <c r="I31" s="125"/>
      <c r="J31" s="126"/>
      <c r="K31" s="4"/>
    </row>
    <row r="32" spans="1:11" x14ac:dyDescent="0.25">
      <c r="A32" s="124" t="s">
        <v>172</v>
      </c>
      <c r="B32" s="125"/>
      <c r="C32" s="126"/>
      <c r="D32" s="124" t="s">
        <v>398</v>
      </c>
      <c r="E32" s="125"/>
      <c r="F32" s="125"/>
      <c r="G32" s="125"/>
      <c r="H32" s="125"/>
      <c r="I32" s="125"/>
      <c r="J32" s="126"/>
      <c r="K32" s="4"/>
    </row>
    <row r="33" spans="1:11" x14ac:dyDescent="0.25">
      <c r="A33" s="124" t="s">
        <v>173</v>
      </c>
      <c r="B33" s="125"/>
      <c r="C33" s="126"/>
      <c r="D33" s="124" t="s">
        <v>399</v>
      </c>
      <c r="E33" s="125"/>
      <c r="F33" s="125"/>
      <c r="G33" s="125"/>
      <c r="H33" s="125"/>
      <c r="I33" s="125"/>
      <c r="J33" s="126"/>
      <c r="K33" s="4"/>
    </row>
    <row r="34" spans="1:11" x14ac:dyDescent="0.25">
      <c r="A34" s="124" t="s">
        <v>174</v>
      </c>
      <c r="B34" s="125"/>
      <c r="C34" s="126"/>
      <c r="D34" s="124" t="s">
        <v>400</v>
      </c>
      <c r="E34" s="125"/>
      <c r="F34" s="125"/>
      <c r="G34" s="125"/>
      <c r="H34" s="125"/>
      <c r="I34" s="125"/>
      <c r="J34" s="126"/>
      <c r="K34" s="4"/>
    </row>
    <row r="35" spans="1:11" x14ac:dyDescent="0.25">
      <c r="A35" s="124" t="s">
        <v>175</v>
      </c>
      <c r="B35" s="125"/>
      <c r="C35" s="126"/>
      <c r="D35" s="124" t="s">
        <v>401</v>
      </c>
      <c r="E35" s="125"/>
      <c r="F35" s="125"/>
      <c r="G35" s="125"/>
      <c r="H35" s="125"/>
      <c r="I35" s="125"/>
      <c r="J35" s="126"/>
      <c r="K35" s="4"/>
    </row>
    <row r="36" spans="1:11" x14ac:dyDescent="0.25">
      <c r="A36" s="124" t="s">
        <v>176</v>
      </c>
      <c r="B36" s="125"/>
      <c r="C36" s="126"/>
      <c r="D36" s="124" t="s">
        <v>402</v>
      </c>
      <c r="E36" s="125"/>
      <c r="F36" s="125"/>
      <c r="G36" s="125"/>
      <c r="H36" s="125"/>
      <c r="I36" s="125"/>
      <c r="J36" s="126"/>
      <c r="K36" s="4"/>
    </row>
    <row r="37" spans="1:11" x14ac:dyDescent="0.25">
      <c r="A37" s="124" t="s">
        <v>177</v>
      </c>
      <c r="B37" s="125"/>
      <c r="C37" s="126"/>
      <c r="D37" s="124" t="s">
        <v>403</v>
      </c>
      <c r="E37" s="125"/>
      <c r="F37" s="125"/>
      <c r="G37" s="125"/>
      <c r="H37" s="125"/>
      <c r="I37" s="125"/>
      <c r="J37" s="126"/>
      <c r="K37" s="4"/>
    </row>
    <row r="38" spans="1:11" x14ac:dyDescent="0.25">
      <c r="A38" s="124" t="s">
        <v>178</v>
      </c>
      <c r="B38" s="125"/>
      <c r="C38" s="126"/>
      <c r="D38" s="124" t="s">
        <v>404</v>
      </c>
      <c r="E38" s="125"/>
      <c r="F38" s="125"/>
      <c r="G38" s="125"/>
      <c r="H38" s="125"/>
      <c r="I38" s="125"/>
      <c r="J38" s="126"/>
      <c r="K38" s="4"/>
    </row>
    <row r="39" spans="1:11" x14ac:dyDescent="0.25">
      <c r="A39" s="124" t="s">
        <v>179</v>
      </c>
      <c r="B39" s="125"/>
      <c r="C39" s="126"/>
      <c r="D39" s="124" t="s">
        <v>405</v>
      </c>
      <c r="E39" s="125"/>
      <c r="F39" s="125"/>
      <c r="G39" s="125"/>
      <c r="H39" s="125"/>
      <c r="I39" s="125"/>
      <c r="J39" s="126"/>
      <c r="K39" s="4"/>
    </row>
    <row r="40" spans="1:11" x14ac:dyDescent="0.25">
      <c r="A40" s="124" t="s">
        <v>180</v>
      </c>
      <c r="B40" s="125"/>
      <c r="C40" s="126"/>
      <c r="D40" s="124" t="s">
        <v>406</v>
      </c>
      <c r="E40" s="125"/>
      <c r="F40" s="125"/>
      <c r="G40" s="125"/>
      <c r="H40" s="125"/>
      <c r="I40" s="125"/>
      <c r="J40" s="126"/>
      <c r="K40" s="4"/>
    </row>
    <row r="41" spans="1:11" x14ac:dyDescent="0.25">
      <c r="A41" s="124" t="s">
        <v>181</v>
      </c>
      <c r="B41" s="125"/>
      <c r="C41" s="126"/>
      <c r="D41" s="124" t="s">
        <v>407</v>
      </c>
      <c r="E41" s="125"/>
      <c r="F41" s="125"/>
      <c r="G41" s="125"/>
      <c r="H41" s="125"/>
      <c r="I41" s="125"/>
      <c r="J41" s="126"/>
      <c r="K41" s="4"/>
    </row>
    <row r="42" spans="1:11" x14ac:dyDescent="0.25">
      <c r="A42" s="124" t="s">
        <v>182</v>
      </c>
      <c r="B42" s="125"/>
      <c r="C42" s="126"/>
      <c r="D42" s="124" t="s">
        <v>408</v>
      </c>
      <c r="E42" s="125"/>
      <c r="F42" s="125"/>
      <c r="G42" s="125"/>
      <c r="H42" s="125"/>
      <c r="I42" s="125"/>
      <c r="J42" s="126"/>
      <c r="K42" s="4"/>
    </row>
    <row r="43" spans="1:11" x14ac:dyDescent="0.25">
      <c r="A43" s="124" t="s">
        <v>183</v>
      </c>
      <c r="B43" s="125"/>
      <c r="C43" s="126"/>
      <c r="D43" s="124" t="s">
        <v>409</v>
      </c>
      <c r="E43" s="125"/>
      <c r="F43" s="125"/>
      <c r="G43" s="125"/>
      <c r="H43" s="125"/>
      <c r="I43" s="125"/>
      <c r="J43" s="126"/>
      <c r="K43" s="4"/>
    </row>
    <row r="44" spans="1:11" x14ac:dyDescent="0.25">
      <c r="A44" s="124" t="s">
        <v>184</v>
      </c>
      <c r="B44" s="125"/>
      <c r="C44" s="126"/>
      <c r="D44" s="124" t="s">
        <v>410</v>
      </c>
      <c r="E44" s="125"/>
      <c r="F44" s="125"/>
      <c r="G44" s="125"/>
      <c r="H44" s="125"/>
      <c r="I44" s="125"/>
      <c r="J44" s="126"/>
      <c r="K44" s="4"/>
    </row>
    <row r="45" spans="1:11" x14ac:dyDescent="0.25">
      <c r="A45" s="127" t="s">
        <v>185</v>
      </c>
      <c r="B45" s="128"/>
      <c r="C45" s="129"/>
      <c r="D45" s="127" t="s">
        <v>411</v>
      </c>
      <c r="E45" s="128"/>
      <c r="F45" s="128"/>
      <c r="G45" s="128"/>
      <c r="H45" s="128"/>
      <c r="I45" s="128"/>
      <c r="J45" s="129"/>
      <c r="K45" s="4"/>
    </row>
    <row r="46" spans="1:1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4"/>
    </row>
    <row r="47" spans="1:11" x14ac:dyDescent="0.25">
      <c r="A47" s="117" t="s">
        <v>154</v>
      </c>
      <c r="B47" s="3"/>
      <c r="C47" s="3"/>
      <c r="D47" s="3"/>
      <c r="E47" s="3"/>
      <c r="F47" s="3"/>
      <c r="G47" s="3"/>
      <c r="H47" s="3"/>
      <c r="I47" s="3"/>
      <c r="J47" s="3"/>
      <c r="K47" s="4"/>
    </row>
    <row r="48" spans="1:11" x14ac:dyDescent="0.25">
      <c r="A48" s="118" t="s">
        <v>303</v>
      </c>
      <c r="B48" s="3"/>
      <c r="C48" s="3"/>
      <c r="D48" s="3"/>
      <c r="E48" s="3"/>
      <c r="F48" s="3"/>
      <c r="G48" s="3"/>
      <c r="H48" s="3"/>
      <c r="I48" s="3"/>
      <c r="J48" s="3"/>
      <c r="K48" s="4"/>
    </row>
    <row r="49" spans="1:11" x14ac:dyDescent="0.25">
      <c r="A49" s="118" t="s">
        <v>304</v>
      </c>
      <c r="B49" s="3"/>
      <c r="C49" s="3"/>
      <c r="D49" s="3"/>
      <c r="E49" s="3"/>
      <c r="F49" s="3"/>
      <c r="G49" s="3"/>
      <c r="H49" s="3"/>
      <c r="I49" s="3"/>
      <c r="J49" s="3"/>
      <c r="K49" s="4"/>
    </row>
    <row r="50" spans="1:11" x14ac:dyDescent="0.25">
      <c r="A50" s="118" t="s">
        <v>364</v>
      </c>
      <c r="B50" s="3"/>
      <c r="C50" s="3"/>
      <c r="D50" s="3"/>
      <c r="E50" s="3"/>
      <c r="F50" s="3"/>
      <c r="G50" s="3"/>
      <c r="H50" s="3"/>
      <c r="I50" s="3"/>
      <c r="J50" s="3"/>
      <c r="K50" s="4"/>
    </row>
    <row r="51" spans="1:11" x14ac:dyDescent="0.25">
      <c r="A51" s="118" t="s">
        <v>189</v>
      </c>
      <c r="B51" s="3"/>
      <c r="C51" s="3"/>
      <c r="D51" s="3"/>
      <c r="E51" s="3"/>
      <c r="F51" s="3"/>
      <c r="G51" s="3"/>
      <c r="H51" s="3"/>
      <c r="I51" s="3"/>
      <c r="J51" s="3"/>
      <c r="K51" s="4"/>
    </row>
    <row r="52" spans="1:11" x14ac:dyDescent="0.25">
      <c r="A52" s="118" t="s">
        <v>305</v>
      </c>
      <c r="B52" s="3"/>
      <c r="C52" s="3"/>
      <c r="D52" s="3"/>
      <c r="E52" s="3"/>
      <c r="F52" s="3"/>
      <c r="G52" s="3"/>
      <c r="H52" s="3"/>
      <c r="I52" s="3"/>
      <c r="J52" s="3"/>
      <c r="K52" s="4"/>
    </row>
    <row r="53" spans="1:11" x14ac:dyDescent="0.25">
      <c r="A53" s="118" t="s">
        <v>306</v>
      </c>
      <c r="B53" s="3"/>
      <c r="C53" s="3"/>
      <c r="D53" s="3"/>
      <c r="E53" s="3"/>
      <c r="F53" s="3"/>
      <c r="G53" s="3"/>
      <c r="H53" s="3"/>
      <c r="I53" s="3"/>
      <c r="J53" s="3"/>
      <c r="K53" s="4"/>
    </row>
    <row r="54" spans="1:11" x14ac:dyDescent="0.25">
      <c r="A54" s="118" t="s">
        <v>307</v>
      </c>
      <c r="B54" s="3"/>
      <c r="C54" s="3"/>
      <c r="D54" s="3"/>
      <c r="E54" s="3"/>
      <c r="F54" s="3"/>
      <c r="G54" s="3"/>
      <c r="H54" s="3"/>
      <c r="I54" s="3"/>
      <c r="J54" s="3"/>
      <c r="K54" s="4"/>
    </row>
    <row r="55" spans="1:11" x14ac:dyDescent="0.25">
      <c r="A55" s="118" t="s">
        <v>365</v>
      </c>
      <c r="B55" s="3"/>
      <c r="C55" s="3"/>
      <c r="D55" s="3"/>
      <c r="E55" s="3"/>
      <c r="F55" s="3"/>
      <c r="G55" s="3"/>
      <c r="H55" s="3"/>
      <c r="I55" s="3"/>
      <c r="J55" s="3"/>
      <c r="K55" s="4"/>
    </row>
    <row r="56" spans="1:11" x14ac:dyDescent="0.25">
      <c r="A56" s="118" t="s">
        <v>191</v>
      </c>
      <c r="B56" s="3"/>
      <c r="C56" s="3"/>
      <c r="D56" s="3"/>
      <c r="E56" s="3"/>
      <c r="F56" s="3"/>
      <c r="G56" s="3"/>
      <c r="H56" s="3"/>
      <c r="I56" s="3"/>
      <c r="J56" s="3"/>
      <c r="K56" s="4"/>
    </row>
    <row r="57" spans="1:11" x14ac:dyDescent="0.25">
      <c r="A57" s="118" t="s">
        <v>192</v>
      </c>
      <c r="B57" s="3"/>
      <c r="C57" s="3"/>
      <c r="D57" s="3"/>
      <c r="E57" s="3"/>
      <c r="F57" s="3"/>
      <c r="G57" s="3"/>
      <c r="H57" s="3"/>
      <c r="I57" s="3"/>
      <c r="J57" s="3"/>
      <c r="K57" s="4"/>
    </row>
    <row r="58" spans="1:11" x14ac:dyDescent="0.25">
      <c r="A58" s="118" t="s">
        <v>193</v>
      </c>
      <c r="B58" s="3"/>
      <c r="C58" s="3"/>
      <c r="D58" s="3"/>
      <c r="E58" s="3"/>
      <c r="F58" s="3"/>
      <c r="G58" s="3"/>
      <c r="H58" s="3"/>
      <c r="I58" s="3"/>
      <c r="J58" s="3"/>
      <c r="K58" s="4"/>
    </row>
    <row r="59" spans="1:11" x14ac:dyDescent="0.25">
      <c r="A59" s="118" t="s">
        <v>195</v>
      </c>
      <c r="B59" s="3"/>
      <c r="C59" s="3"/>
      <c r="D59" s="3"/>
      <c r="E59" s="3"/>
      <c r="F59" s="3"/>
      <c r="G59" s="3"/>
      <c r="H59" s="3"/>
      <c r="I59" s="3"/>
      <c r="J59" s="3"/>
      <c r="K59" s="4"/>
    </row>
    <row r="60" spans="1:11" x14ac:dyDescent="0.25">
      <c r="A60" s="118" t="s">
        <v>194</v>
      </c>
      <c r="B60" s="3"/>
      <c r="C60" s="3"/>
      <c r="D60" s="3"/>
      <c r="E60" s="3"/>
      <c r="F60" s="3"/>
      <c r="G60" s="3"/>
      <c r="H60" s="3"/>
      <c r="I60" s="3"/>
      <c r="J60" s="3"/>
      <c r="K60" s="4"/>
    </row>
    <row r="61" spans="1:11" x14ac:dyDescent="0.25">
      <c r="A61" s="118" t="s">
        <v>308</v>
      </c>
      <c r="B61" s="3"/>
      <c r="C61" s="3"/>
      <c r="D61" s="3"/>
      <c r="E61" s="3"/>
      <c r="F61" s="3"/>
      <c r="G61" s="3"/>
      <c r="H61" s="3"/>
      <c r="I61" s="3"/>
      <c r="J61" s="3"/>
      <c r="K61" s="4"/>
    </row>
    <row r="62" spans="1:11" x14ac:dyDescent="0.25">
      <c r="A62" s="118" t="s">
        <v>196</v>
      </c>
      <c r="B62" s="3"/>
      <c r="C62" s="3"/>
      <c r="D62" s="3"/>
      <c r="E62" s="3"/>
      <c r="F62" s="3"/>
      <c r="G62" s="3"/>
      <c r="H62" s="3"/>
      <c r="I62" s="3"/>
      <c r="J62" s="3"/>
      <c r="K62" s="4"/>
    </row>
    <row r="63" spans="1:11" x14ac:dyDescent="0.25">
      <c r="A63" s="118" t="s">
        <v>197</v>
      </c>
      <c r="B63" s="3"/>
      <c r="C63" s="3"/>
      <c r="D63" s="3"/>
      <c r="E63" s="3"/>
      <c r="F63" s="3"/>
      <c r="G63" s="3"/>
      <c r="H63" s="3"/>
      <c r="I63" s="3"/>
      <c r="J63" s="3"/>
      <c r="K63" s="4"/>
    </row>
    <row r="64" spans="1:11" x14ac:dyDescent="0.25">
      <c r="A64" s="118" t="s">
        <v>198</v>
      </c>
      <c r="B64" s="3"/>
      <c r="C64" s="3"/>
      <c r="D64" s="3"/>
      <c r="E64" s="3"/>
      <c r="F64" s="3"/>
      <c r="G64" s="3"/>
      <c r="H64" s="3"/>
      <c r="I64" s="3"/>
      <c r="J64" s="3"/>
      <c r="K64" s="4"/>
    </row>
    <row r="65" spans="1:11" x14ac:dyDescent="0.25">
      <c r="A65" s="118" t="s">
        <v>309</v>
      </c>
      <c r="B65" s="3"/>
      <c r="C65" s="3"/>
      <c r="D65" s="3"/>
      <c r="E65" s="3"/>
      <c r="F65" s="3"/>
      <c r="G65" s="3"/>
      <c r="H65" s="3"/>
      <c r="I65" s="3"/>
      <c r="J65" s="3"/>
      <c r="K65" s="4"/>
    </row>
    <row r="66" spans="1:11" x14ac:dyDescent="0.25">
      <c r="A66" s="118" t="s">
        <v>199</v>
      </c>
      <c r="B66" s="3"/>
      <c r="C66" s="3"/>
      <c r="D66" s="3"/>
      <c r="E66" s="3"/>
      <c r="F66" s="3"/>
      <c r="G66" s="3"/>
      <c r="H66" s="3"/>
      <c r="I66" s="3"/>
      <c r="J66" s="3"/>
      <c r="K66" s="4"/>
    </row>
    <row r="67" spans="1:11" x14ac:dyDescent="0.25">
      <c r="A67" s="118" t="s">
        <v>366</v>
      </c>
      <c r="B67" s="3"/>
      <c r="C67" s="3"/>
      <c r="D67" s="3"/>
      <c r="E67" s="3"/>
      <c r="F67" s="3"/>
      <c r="G67" s="3"/>
      <c r="H67" s="3"/>
      <c r="I67" s="3"/>
      <c r="J67" s="3"/>
      <c r="K67" s="4"/>
    </row>
    <row r="68" spans="1:11" x14ac:dyDescent="0.25">
      <c r="A68" s="118" t="s">
        <v>310</v>
      </c>
      <c r="B68" s="3"/>
      <c r="C68" s="3"/>
      <c r="D68" s="3"/>
      <c r="E68" s="3"/>
      <c r="F68" s="3"/>
      <c r="G68" s="3"/>
      <c r="H68" s="3"/>
      <c r="I68" s="3"/>
      <c r="J68" s="3"/>
      <c r="K68" s="4"/>
    </row>
    <row r="69" spans="1:11" x14ac:dyDescent="0.25">
      <c r="A69" s="118" t="s">
        <v>311</v>
      </c>
      <c r="B69" s="3"/>
      <c r="C69" s="3"/>
      <c r="D69" s="3"/>
      <c r="E69" s="3"/>
      <c r="F69" s="3"/>
      <c r="G69" s="3"/>
      <c r="H69" s="3"/>
      <c r="I69" s="3"/>
      <c r="J69" s="3"/>
      <c r="K69" s="4"/>
    </row>
    <row r="70" spans="1:11" x14ac:dyDescent="0.25">
      <c r="A70" s="118" t="s">
        <v>200</v>
      </c>
      <c r="B70" s="3"/>
      <c r="C70" s="3"/>
      <c r="D70" s="3"/>
      <c r="E70" s="3"/>
      <c r="F70" s="3"/>
      <c r="G70" s="3"/>
      <c r="H70" s="3"/>
      <c r="I70" s="3"/>
      <c r="J70" s="3"/>
      <c r="K70" s="4"/>
    </row>
    <row r="71" spans="1:11" x14ac:dyDescent="0.25">
      <c r="A71" s="118" t="s">
        <v>201</v>
      </c>
      <c r="B71" s="3"/>
      <c r="C71" s="3"/>
      <c r="D71" s="3"/>
      <c r="E71" s="3"/>
      <c r="F71" s="3"/>
      <c r="G71" s="3"/>
      <c r="H71" s="3"/>
      <c r="I71" s="3"/>
      <c r="J71" s="3"/>
      <c r="K71" s="4"/>
    </row>
    <row r="72" spans="1:11" x14ac:dyDescent="0.25">
      <c r="A72" s="118" t="s">
        <v>312</v>
      </c>
      <c r="B72" s="3"/>
      <c r="C72" s="3"/>
      <c r="D72" s="3"/>
      <c r="E72" s="3"/>
      <c r="F72" s="3"/>
      <c r="G72" s="3"/>
      <c r="H72" s="3"/>
      <c r="I72" s="3"/>
      <c r="J72" s="3"/>
      <c r="K72" s="4"/>
    </row>
    <row r="73" spans="1:11" x14ac:dyDescent="0.25">
      <c r="A73" s="118" t="s">
        <v>155</v>
      </c>
      <c r="B73" s="3"/>
      <c r="C73" s="3"/>
      <c r="D73" s="3"/>
      <c r="E73" s="3"/>
      <c r="F73" s="3"/>
      <c r="G73" s="3"/>
      <c r="H73" s="3"/>
      <c r="I73" s="3"/>
      <c r="J73" s="3"/>
      <c r="K73" s="4"/>
    </row>
    <row r="74" spans="1:11" x14ac:dyDescent="0.25">
      <c r="A74" s="118" t="s">
        <v>156</v>
      </c>
      <c r="B74" s="3"/>
      <c r="C74" s="3"/>
      <c r="D74" s="3"/>
      <c r="E74" s="3"/>
      <c r="F74" s="3"/>
      <c r="G74" s="3"/>
      <c r="H74" s="3"/>
      <c r="I74" s="3"/>
      <c r="J74" s="3"/>
      <c r="K74" s="4"/>
    </row>
    <row r="75" spans="1:11" x14ac:dyDescent="0.25">
      <c r="A75" s="118" t="s">
        <v>157</v>
      </c>
      <c r="B75" s="3"/>
      <c r="C75" s="3"/>
      <c r="D75" s="3"/>
      <c r="E75" s="3"/>
      <c r="F75" s="3"/>
      <c r="G75" s="3"/>
      <c r="H75" s="3"/>
      <c r="I75" s="3"/>
      <c r="J75" s="3"/>
      <c r="K75" s="4"/>
    </row>
    <row r="76" spans="1:11" x14ac:dyDescent="0.25">
      <c r="A76" s="118" t="s">
        <v>158</v>
      </c>
      <c r="B76" s="3"/>
      <c r="C76" s="3"/>
      <c r="D76" s="3"/>
      <c r="E76" s="3"/>
      <c r="F76" s="3"/>
      <c r="G76" s="3"/>
      <c r="H76" s="3"/>
      <c r="I76" s="3"/>
      <c r="J76" s="3"/>
      <c r="K76" s="4"/>
    </row>
    <row r="77" spans="1:11" x14ac:dyDescent="0.25">
      <c r="A77" s="118" t="s">
        <v>314</v>
      </c>
      <c r="B77" s="3"/>
      <c r="C77" s="3"/>
      <c r="D77" s="3"/>
      <c r="E77" s="3"/>
      <c r="F77" s="3"/>
      <c r="G77" s="3"/>
      <c r="H77" s="3"/>
      <c r="I77" s="3"/>
      <c r="J77" s="3"/>
      <c r="K77" s="4"/>
    </row>
    <row r="78" spans="1:11" x14ac:dyDescent="0.25">
      <c r="A78" s="118" t="s">
        <v>313</v>
      </c>
      <c r="B78" s="3"/>
      <c r="C78" s="3"/>
      <c r="D78" s="3"/>
      <c r="E78" s="3"/>
      <c r="F78" s="3"/>
      <c r="G78" s="3"/>
      <c r="H78" s="3"/>
      <c r="I78" s="3"/>
      <c r="J78" s="3"/>
      <c r="K78" s="4"/>
    </row>
    <row r="79" spans="1:11" x14ac:dyDescent="0.25">
      <c r="A79" s="118"/>
      <c r="B79" s="3"/>
      <c r="C79" s="3"/>
      <c r="D79" s="3"/>
      <c r="E79" s="3"/>
      <c r="F79" s="3"/>
      <c r="G79" s="3"/>
      <c r="H79" s="3"/>
      <c r="I79" s="3"/>
      <c r="J79" s="3"/>
      <c r="K79" s="4"/>
    </row>
    <row r="80" spans="1:11" x14ac:dyDescent="0.25">
      <c r="A80" s="117" t="s">
        <v>315</v>
      </c>
      <c r="B80" s="3"/>
      <c r="C80" s="3"/>
      <c r="D80" s="3"/>
      <c r="E80" s="3"/>
      <c r="F80" s="3"/>
      <c r="G80" s="3"/>
      <c r="H80" s="3"/>
      <c r="I80" s="3"/>
      <c r="J80" s="3"/>
      <c r="K80" s="4"/>
    </row>
    <row r="81" spans="1:11" x14ac:dyDescent="0.25">
      <c r="A81" s="119" t="s">
        <v>318</v>
      </c>
      <c r="B81" s="3"/>
      <c r="C81" s="3"/>
      <c r="D81" s="3"/>
      <c r="E81" s="3"/>
      <c r="F81" s="3"/>
      <c r="G81" s="3"/>
      <c r="H81" s="3"/>
      <c r="I81" s="3"/>
      <c r="J81" s="3"/>
      <c r="K81" s="4"/>
    </row>
    <row r="82" spans="1:11" x14ac:dyDescent="0.25">
      <c r="A82" s="119" t="s">
        <v>323</v>
      </c>
      <c r="B82" s="3"/>
      <c r="C82" s="3"/>
      <c r="D82" s="3"/>
      <c r="E82" s="3"/>
      <c r="F82" s="3"/>
      <c r="G82" s="3"/>
      <c r="H82" s="3"/>
      <c r="I82" s="3"/>
      <c r="J82" s="3"/>
      <c r="K82" s="4"/>
    </row>
    <row r="83" spans="1:11" x14ac:dyDescent="0.25">
      <c r="A83" s="119" t="s">
        <v>324</v>
      </c>
      <c r="B83" s="3"/>
      <c r="C83" s="3"/>
      <c r="D83" s="3"/>
      <c r="E83" s="3"/>
      <c r="F83" s="3"/>
      <c r="G83" s="3"/>
      <c r="H83" s="3"/>
      <c r="I83" s="3"/>
      <c r="J83" s="3"/>
      <c r="K83" s="4"/>
    </row>
    <row r="84" spans="1:11" ht="18" x14ac:dyDescent="0.35">
      <c r="A84" s="119" t="s">
        <v>363</v>
      </c>
      <c r="B84" s="3"/>
      <c r="C84" s="3"/>
      <c r="D84" s="3"/>
      <c r="E84" s="3"/>
      <c r="F84" s="3"/>
      <c r="G84" s="3"/>
      <c r="H84" s="3"/>
      <c r="I84" s="3"/>
      <c r="J84" s="3"/>
      <c r="K84" s="4"/>
    </row>
    <row r="85" spans="1:11" ht="18" x14ac:dyDescent="0.35">
      <c r="A85" s="119" t="s">
        <v>319</v>
      </c>
      <c r="B85" s="3"/>
      <c r="C85" s="3"/>
      <c r="D85" s="3"/>
      <c r="E85" s="3"/>
      <c r="F85" s="3"/>
      <c r="G85" s="3"/>
      <c r="H85" s="3"/>
      <c r="I85" s="3"/>
      <c r="J85" s="3"/>
      <c r="K85" s="4"/>
    </row>
    <row r="86" spans="1:11" x14ac:dyDescent="0.25">
      <c r="A86" s="119" t="s">
        <v>325</v>
      </c>
      <c r="B86" s="3"/>
      <c r="C86" s="3"/>
      <c r="D86" s="3"/>
      <c r="E86" s="3"/>
      <c r="F86" s="3"/>
      <c r="G86" s="3"/>
      <c r="H86" s="3"/>
      <c r="I86" s="3"/>
      <c r="J86" s="3"/>
      <c r="K86" s="4"/>
    </row>
    <row r="87" spans="1:11" x14ac:dyDescent="0.25">
      <c r="A87" s="119" t="s">
        <v>339</v>
      </c>
      <c r="B87" s="3"/>
      <c r="C87" s="3"/>
      <c r="D87" s="3"/>
      <c r="E87" s="3"/>
      <c r="F87" s="3"/>
      <c r="G87" s="3"/>
      <c r="H87" s="3"/>
      <c r="I87" s="3"/>
      <c r="J87" s="3"/>
      <c r="K87" s="4"/>
    </row>
    <row r="88" spans="1:11" x14ac:dyDescent="0.25">
      <c r="A88" s="119" t="s">
        <v>320</v>
      </c>
      <c r="B88" s="3"/>
      <c r="C88" s="3"/>
      <c r="D88" s="3"/>
      <c r="E88" s="3"/>
      <c r="F88" s="3"/>
      <c r="G88" s="3"/>
      <c r="H88" s="3"/>
      <c r="I88" s="3"/>
      <c r="J88" s="3"/>
      <c r="K88" s="4"/>
    </row>
    <row r="89" spans="1:11" x14ac:dyDescent="0.25">
      <c r="A89" s="119" t="s">
        <v>316</v>
      </c>
      <c r="B89" s="3"/>
      <c r="C89" s="3"/>
      <c r="D89" s="3"/>
      <c r="E89" s="3"/>
      <c r="F89" s="3"/>
      <c r="G89" s="3"/>
      <c r="H89" s="3"/>
      <c r="I89" s="3"/>
      <c r="J89" s="3"/>
      <c r="K89" s="4"/>
    </row>
    <row r="90" spans="1:11" x14ac:dyDescent="0.25">
      <c r="A90" s="119" t="s">
        <v>317</v>
      </c>
      <c r="B90" s="3"/>
      <c r="C90" s="3"/>
      <c r="D90" s="3"/>
      <c r="E90" s="3"/>
      <c r="F90" s="3"/>
      <c r="G90" s="3"/>
      <c r="H90" s="3"/>
      <c r="I90" s="3"/>
      <c r="J90" s="3"/>
      <c r="K90" s="4"/>
    </row>
    <row r="91" spans="1:11" x14ac:dyDescent="0.25">
      <c r="A91" s="119" t="s">
        <v>321</v>
      </c>
      <c r="B91" s="3"/>
      <c r="C91" s="3"/>
      <c r="D91" s="3"/>
      <c r="E91" s="3"/>
      <c r="F91" s="3"/>
      <c r="G91" s="3"/>
      <c r="H91" s="3"/>
      <c r="I91" s="3"/>
      <c r="J91" s="3"/>
      <c r="K91" s="4"/>
    </row>
    <row r="92" spans="1:11" x14ac:dyDescent="0.25">
      <c r="A92" s="119" t="s">
        <v>322</v>
      </c>
      <c r="B92" s="3"/>
      <c r="C92" s="3"/>
      <c r="D92" s="3"/>
      <c r="E92" s="3"/>
      <c r="F92" s="3"/>
      <c r="G92" s="3"/>
      <c r="H92" s="3"/>
      <c r="I92" s="3"/>
      <c r="J92" s="3"/>
      <c r="K92" s="4"/>
    </row>
    <row r="93" spans="1:11" x14ac:dyDescent="0.25">
      <c r="A93" s="120" t="s">
        <v>340</v>
      </c>
      <c r="B93" s="3"/>
      <c r="C93" s="3"/>
      <c r="D93" s="3"/>
      <c r="E93" s="3"/>
      <c r="F93" s="3"/>
      <c r="G93" s="3"/>
      <c r="H93" s="3"/>
      <c r="I93" s="3"/>
      <c r="J93" s="3"/>
      <c r="K93" s="4"/>
    </row>
    <row r="94" spans="1:11" x14ac:dyDescent="0.25">
      <c r="A94" s="119" t="s">
        <v>341</v>
      </c>
      <c r="B94" s="3"/>
      <c r="C94" s="3"/>
      <c r="D94" s="3"/>
      <c r="E94" s="3"/>
      <c r="F94" s="3"/>
      <c r="G94" s="3"/>
      <c r="H94" s="3"/>
      <c r="I94" s="3"/>
      <c r="J94" s="3"/>
      <c r="K94" s="4"/>
    </row>
    <row r="95" spans="1:11" ht="18" x14ac:dyDescent="0.35">
      <c r="A95" s="119" t="s">
        <v>326</v>
      </c>
      <c r="B95" s="3"/>
      <c r="C95" s="3"/>
      <c r="D95" s="3"/>
      <c r="E95" s="3"/>
      <c r="F95" s="3"/>
      <c r="G95" s="3"/>
      <c r="H95" s="3"/>
      <c r="I95" s="3"/>
      <c r="J95" s="3"/>
      <c r="K95" s="4"/>
    </row>
    <row r="96" spans="1:11" x14ac:dyDescent="0.25">
      <c r="A96" s="119" t="s">
        <v>335</v>
      </c>
      <c r="B96" s="3"/>
      <c r="C96" s="3"/>
      <c r="D96" s="3"/>
      <c r="E96" s="3"/>
      <c r="F96" s="3"/>
      <c r="G96" s="3"/>
      <c r="H96" s="3"/>
      <c r="I96" s="3"/>
      <c r="J96" s="3"/>
      <c r="K96" s="4"/>
    </row>
    <row r="97" spans="1:11" x14ac:dyDescent="0.25">
      <c r="A97" s="119" t="s">
        <v>334</v>
      </c>
      <c r="B97" s="3"/>
      <c r="C97" s="3"/>
      <c r="D97" s="3"/>
      <c r="E97" s="3"/>
      <c r="F97" s="3"/>
      <c r="G97" s="3"/>
      <c r="H97" s="3"/>
      <c r="I97" s="3"/>
      <c r="J97" s="3"/>
      <c r="K97" s="4"/>
    </row>
    <row r="98" spans="1:11" x14ac:dyDescent="0.25">
      <c r="A98" s="119" t="s">
        <v>337</v>
      </c>
      <c r="B98" s="3"/>
      <c r="C98" s="3"/>
      <c r="D98" s="3"/>
      <c r="E98" s="3"/>
      <c r="F98" s="3"/>
      <c r="G98" s="3"/>
      <c r="H98" s="3"/>
      <c r="I98" s="3"/>
      <c r="J98" s="3"/>
      <c r="K98" s="4"/>
    </row>
    <row r="99" spans="1:11" x14ac:dyDescent="0.25">
      <c r="A99" s="119" t="s">
        <v>336</v>
      </c>
      <c r="B99" s="3"/>
      <c r="C99" s="3"/>
      <c r="D99" s="3"/>
      <c r="E99" s="3"/>
      <c r="F99" s="3"/>
      <c r="G99" s="3"/>
      <c r="H99" s="3"/>
      <c r="I99" s="3"/>
      <c r="J99" s="3"/>
      <c r="K99" s="4"/>
    </row>
    <row r="100" spans="1:11" ht="18" x14ac:dyDescent="0.35">
      <c r="A100" s="119" t="s">
        <v>327</v>
      </c>
      <c r="B100" s="3"/>
      <c r="C100" s="3"/>
      <c r="D100" s="3"/>
      <c r="E100" s="3"/>
      <c r="F100" s="3"/>
      <c r="G100" s="3"/>
      <c r="H100" s="3"/>
      <c r="I100" s="3"/>
      <c r="J100" s="3"/>
      <c r="K100" s="4"/>
    </row>
    <row r="101" spans="1:11" ht="18" x14ac:dyDescent="0.35">
      <c r="A101" s="119" t="s">
        <v>362</v>
      </c>
      <c r="B101" s="3"/>
      <c r="C101" s="3"/>
      <c r="D101" s="3"/>
      <c r="E101" s="3"/>
      <c r="F101" s="3"/>
      <c r="G101" s="3"/>
      <c r="H101" s="3"/>
      <c r="I101" s="3"/>
      <c r="J101" s="3"/>
      <c r="K101" s="4"/>
    </row>
    <row r="102" spans="1:11" x14ac:dyDescent="0.25">
      <c r="A102" s="119" t="s">
        <v>328</v>
      </c>
      <c r="B102" s="3"/>
      <c r="C102" s="3"/>
      <c r="D102" s="3"/>
      <c r="E102" s="3"/>
      <c r="F102" s="3"/>
      <c r="G102" s="3"/>
      <c r="H102" s="3"/>
      <c r="I102" s="3"/>
      <c r="J102" s="3"/>
      <c r="K102" s="4"/>
    </row>
    <row r="103" spans="1:11" x14ac:dyDescent="0.25">
      <c r="A103" s="119" t="s">
        <v>329</v>
      </c>
      <c r="B103" s="3"/>
      <c r="C103" s="3"/>
      <c r="D103" s="3"/>
      <c r="E103" s="3"/>
      <c r="F103" s="3"/>
      <c r="G103" s="3"/>
      <c r="H103" s="3"/>
      <c r="I103" s="3"/>
      <c r="J103" s="3"/>
      <c r="K103" s="4"/>
    </row>
    <row r="104" spans="1:11" x14ac:dyDescent="0.25">
      <c r="A104" s="119" t="s">
        <v>330</v>
      </c>
    </row>
    <row r="105" spans="1:11" x14ac:dyDescent="0.25">
      <c r="A105" s="119" t="s">
        <v>331</v>
      </c>
    </row>
    <row r="106" spans="1:11" ht="18" x14ac:dyDescent="0.35">
      <c r="A106" s="119" t="s">
        <v>332</v>
      </c>
    </row>
    <row r="107" spans="1:11" ht="18" x14ac:dyDescent="0.35">
      <c r="A107" s="119" t="s">
        <v>333</v>
      </c>
    </row>
    <row r="108" spans="1:11" ht="18" x14ac:dyDescent="0.35">
      <c r="A108" s="119" t="s">
        <v>338</v>
      </c>
    </row>
    <row r="109" spans="1:11" x14ac:dyDescent="0.25">
      <c r="A109" s="119" t="s">
        <v>367</v>
      </c>
    </row>
    <row r="110" spans="1:11" x14ac:dyDescent="0.25">
      <c r="A110" s="119" t="s">
        <v>342</v>
      </c>
    </row>
    <row r="111" spans="1:11" x14ac:dyDescent="0.25">
      <c r="A111" s="118"/>
      <c r="B111" s="3"/>
      <c r="C111" s="3"/>
      <c r="D111" s="3"/>
      <c r="E111" s="3"/>
      <c r="F111" s="3"/>
      <c r="G111" s="3"/>
      <c r="H111" s="3"/>
      <c r="I111" s="3"/>
      <c r="J111" s="3"/>
      <c r="K111" s="4"/>
    </row>
    <row r="112" spans="1:11" x14ac:dyDescent="0.25">
      <c r="A112" s="117" t="s">
        <v>368</v>
      </c>
    </row>
    <row r="113" spans="1:1" x14ac:dyDescent="0.25">
      <c r="A113" s="119" t="s">
        <v>369</v>
      </c>
    </row>
    <row r="114" spans="1:1" x14ac:dyDescent="0.25">
      <c r="A114" s="119" t="s">
        <v>370</v>
      </c>
    </row>
    <row r="115" spans="1:1" x14ac:dyDescent="0.25">
      <c r="A115" s="119" t="s">
        <v>371</v>
      </c>
    </row>
    <row r="116" spans="1:1" x14ac:dyDescent="0.25">
      <c r="A116" s="119" t="s">
        <v>372</v>
      </c>
    </row>
    <row r="117" spans="1:1" x14ac:dyDescent="0.25">
      <c r="A117" s="119" t="s">
        <v>373</v>
      </c>
    </row>
    <row r="118" spans="1:1" x14ac:dyDescent="0.25">
      <c r="A118" s="119" t="s">
        <v>374</v>
      </c>
    </row>
    <row r="119" spans="1:1" x14ac:dyDescent="0.25">
      <c r="A119" s="119" t="s">
        <v>375</v>
      </c>
    </row>
    <row r="120" spans="1:1" x14ac:dyDescent="0.25">
      <c r="A120" s="119" t="s">
        <v>376</v>
      </c>
    </row>
    <row r="121" spans="1:1" x14ac:dyDescent="0.25">
      <c r="A121" s="119" t="s">
        <v>377</v>
      </c>
    </row>
    <row r="122" spans="1:1" x14ac:dyDescent="0.25">
      <c r="A122" s="119" t="s">
        <v>378</v>
      </c>
    </row>
    <row r="123" spans="1:1" x14ac:dyDescent="0.25">
      <c r="A123" s="119" t="s">
        <v>379</v>
      </c>
    </row>
    <row r="124" spans="1:1" x14ac:dyDescent="0.25">
      <c r="A124" s="119" t="s">
        <v>381</v>
      </c>
    </row>
    <row r="125" spans="1:1" x14ac:dyDescent="0.25">
      <c r="A125" s="119" t="s">
        <v>382</v>
      </c>
    </row>
    <row r="126" spans="1:1" ht="18.75" x14ac:dyDescent="0.35">
      <c r="A126" s="119" t="s">
        <v>383</v>
      </c>
    </row>
    <row r="127" spans="1:1" x14ac:dyDescent="0.25">
      <c r="A127" s="119" t="s">
        <v>384</v>
      </c>
    </row>
    <row r="128" spans="1:1" ht="18.75" x14ac:dyDescent="0.35">
      <c r="A128" s="119" t="s">
        <v>385</v>
      </c>
    </row>
  </sheetData>
  <pageMargins left="1" right="0.5" top="0.75" bottom="0.75" header="0.3" footer="0.3"/>
  <pageSetup scale="83" orientation="portrait" r:id="rId1"/>
  <rowBreaks count="2" manualBreakCount="2">
    <brk id="55" max="16383" man="1"/>
    <brk id="11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236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72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400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800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20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5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36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77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24.899797500000005</v>
      </c>
    </row>
    <row r="20" spans="1:17" ht="18" x14ac:dyDescent="0.35">
      <c r="A20" s="45"/>
      <c r="B20" s="46" t="s">
        <v>425</v>
      </c>
      <c r="C20" s="56">
        <v>81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24.899797500000005</v>
      </c>
    </row>
    <row r="21" spans="1:17" x14ac:dyDescent="0.25">
      <c r="A21" s="45"/>
      <c r="B21" s="46" t="s">
        <v>426</v>
      </c>
      <c r="C21" s="53">
        <f>2*C18/12+3*C17</f>
        <v>21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1.6930000000000001</v>
      </c>
      <c r="M21" s="4" t="s">
        <v>20</v>
      </c>
      <c r="N21" s="4" t="s">
        <v>37</v>
      </c>
      <c r="P21" s="4">
        <f>+IF(C24&lt;9,(C24/8),IF(C24=9,1.128,IF(C24=10,1.27,IF(C24=11,1.41,IF(C24=14,1.693,0)))))</f>
        <v>1.6930000000000001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2*C18/12+C17*2*0.8661</f>
        <v>14.661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2.2510803083750002</v>
      </c>
      <c r="M22" s="4" t="s">
        <v>35</v>
      </c>
      <c r="N22" s="4" t="s">
        <v>38</v>
      </c>
      <c r="P22" s="4">
        <f>3.1415*P21^2/4</f>
        <v>2.2510803083750002</v>
      </c>
      <c r="Q22" s="4" t="s">
        <v>35</v>
      </c>
    </row>
    <row r="23" spans="1:17" x14ac:dyDescent="0.25">
      <c r="A23" s="45"/>
      <c r="B23" s="46" t="s">
        <v>428</v>
      </c>
      <c r="C23" s="47">
        <v>14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14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69.460499999999996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71.153499999999994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71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22.567916137102415</v>
      </c>
    </row>
    <row r="28" spans="1:17" x14ac:dyDescent="0.25">
      <c r="A28" s="59" t="str">
        <f>+IF(C12&gt;200,"High capacity pile selected - special details required - see CRSI Pile Cap Design Guide", "")</f>
        <v>High capacity pile selected - special details required - see CRSI Pile Cap Design Guide</v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20</v>
      </c>
    </row>
    <row r="30" spans="1:17" x14ac:dyDescent="0.25">
      <c r="A30" s="45" t="s">
        <v>123</v>
      </c>
      <c r="B30" s="49"/>
      <c r="C30" s="49"/>
      <c r="D30" s="49"/>
      <c r="E30" s="49"/>
      <c r="F30" s="62" t="str">
        <f>+IF(C63&gt;C61,"NG; select smaller bar size","OK")</f>
        <v>OK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E31" s="49"/>
      <c r="F31" s="62" t="str">
        <f>+IF(C80&gt;C81,"NG; select smaller bar size","OK")</f>
        <v>OK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71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35.5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91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20297.231500000002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">
        <v>229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59.45803413047981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4446.9006189817683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3779.8655261345029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1206.83348328125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1.6*10*C13-1.6*C21*C22*C20/12*0.15</f>
        <v>12301.23278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0.31927947566839071</v>
      </c>
    </row>
    <row r="41" spans="1:25" x14ac:dyDescent="0.25">
      <c r="A41" s="45"/>
      <c r="B41" s="46" t="s">
        <v>433</v>
      </c>
      <c r="C41" s="58">
        <f>+(C40/4)^0.5</f>
        <v>55.455461363151599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56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1.6*C13*(3*(C17*12*0.866+C11-C42/4))-1.6*(C22/2-C42/12/4)*C21*C20/12*0.15*(C22/2-C42/12/4)*12/2</f>
        <v>149531.30122137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7120.538153398571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69.460499999999996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1.9605500682407424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41.171551433055591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54.895401910740787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47.936804209040361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58.346819999999994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58.346819999999994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36.741599999999998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54.895401910740787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109"/>
      <c r="B57" s="76" t="s">
        <v>45</v>
      </c>
      <c r="C57" s="57">
        <f>+C21/C22</f>
        <v>1.4323715981174545</v>
      </c>
      <c r="D57" s="48"/>
      <c r="E57" s="49"/>
      <c r="F57" s="49"/>
      <c r="G57" s="49"/>
      <c r="H57" s="49"/>
      <c r="I57" s="50"/>
    </row>
    <row r="58" spans="1:9" ht="18" x14ac:dyDescent="0.35">
      <c r="A58" s="109"/>
      <c r="B58" s="76" t="s">
        <v>47</v>
      </c>
      <c r="C58" s="55">
        <f>2/(C57+1)</f>
        <v>0.8222427862370657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48.490091702092897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54.895401910740787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33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25.964240115974892</v>
      </c>
      <c r="D63" s="48" t="s">
        <v>0</v>
      </c>
      <c r="E63" s="49" t="str">
        <f>+IF(C63&gt;C61,"NG; insufficient length available to develop hook","OK; sufficient length available to develop hook")</f>
        <v>OK; 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24.38624766362442</v>
      </c>
      <c r="D64" s="48"/>
      <c r="E64" s="49"/>
      <c r="F64" s="49"/>
      <c r="G64" s="49"/>
      <c r="H64" s="49"/>
      <c r="I64" s="50"/>
    </row>
    <row r="65" spans="1:15" x14ac:dyDescent="0.25">
      <c r="A65" s="45"/>
      <c r="B65" s="46" t="s">
        <v>442</v>
      </c>
      <c r="C65" s="56">
        <v>21</v>
      </c>
      <c r="D65" s="48"/>
      <c r="E65" s="49"/>
      <c r="F65" s="49"/>
      <c r="G65" s="49"/>
      <c r="H65" s="49"/>
      <c r="I65" s="50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15" ht="18" x14ac:dyDescent="0.35">
      <c r="A68" s="45"/>
      <c r="B68" s="46" t="s">
        <v>26</v>
      </c>
      <c r="C68" s="69">
        <f>1.6*C13*(1*(C17*12/2+C11-C42/4))+1.6*C13*(2*(C17*12+C11-C42/4))+1.6*C13*(1*(1.5*C17*12+C11-C42/4))-1.6*(C21/2-C42/12/4)*C22*C20/12*0.15*(C21/2-C42/12/4)*12/2</f>
        <v>238466.23808000001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16265.346025509858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71.153499999999994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4.5248105945942889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7.0099583333333326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66.338248127346873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3.8464999999999998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88.450997503129159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3.5049791666666663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34.282441147812122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41.727258539999987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41.727258539999987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25.650885599999999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66.338248127346873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2.0702771214806059</v>
      </c>
      <c r="N78" s="111"/>
      <c r="O78" s="111"/>
    </row>
    <row r="79" spans="1:15" ht="18" x14ac:dyDescent="0.35">
      <c r="A79" s="2"/>
      <c r="B79" s="112" t="s">
        <v>210</v>
      </c>
      <c r="C79" s="58">
        <f>+M73</f>
        <v>3.5049791666666663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67.186243829502686</v>
      </c>
      <c r="N79" s="111" t="s">
        <v>0</v>
      </c>
      <c r="O79" s="111"/>
    </row>
    <row r="80" spans="1:15" ht="18" x14ac:dyDescent="0.35">
      <c r="A80" s="2"/>
      <c r="B80" s="112" t="s">
        <v>211</v>
      </c>
      <c r="C80" s="58">
        <f>+M79</f>
        <v>67.186243829502686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95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2"/>
      <c r="B81" s="112" t="s">
        <v>214</v>
      </c>
      <c r="C81" s="58">
        <f>+M80</f>
        <v>95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29.469516427530227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25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71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63.5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35.5</v>
      </c>
      <c r="C87" s="48" t="s">
        <v>0</v>
      </c>
      <c r="D87" s="49"/>
      <c r="E87" s="49"/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+C17*12*0.866+C11</f>
        <v>54.96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+IF(M86&gt;O90,0,IF(M86&gt;O89,2,IF(M86&gt;O87,6,IF(M86&gt;O88,8,10))))</f>
        <v>2</v>
      </c>
      <c r="F88" s="49"/>
      <c r="G88" s="49"/>
      <c r="H88" s="49"/>
      <c r="I88" s="50"/>
      <c r="J88" s="4" t="s">
        <v>233</v>
      </c>
      <c r="K88" s="64"/>
      <c r="L88" s="64"/>
      <c r="M88" s="64"/>
      <c r="N88" s="64"/>
      <c r="O88" s="64">
        <f>+C17*12/2+C11</f>
        <v>33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238</v>
      </c>
      <c r="K89" s="64"/>
      <c r="L89" s="64"/>
      <c r="M89" s="64"/>
      <c r="N89" s="64"/>
      <c r="O89" s="64">
        <f>+C17*12+C11</f>
        <v>63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508</v>
      </c>
      <c r="C90" s="48" t="s">
        <v>0</v>
      </c>
      <c r="D90" s="49"/>
      <c r="E90" s="49"/>
      <c r="F90" s="49"/>
      <c r="G90" s="49"/>
      <c r="H90" s="49"/>
      <c r="I90" s="50"/>
      <c r="J90" s="4" t="s">
        <v>234</v>
      </c>
      <c r="K90" s="64"/>
      <c r="L90" s="64"/>
      <c r="M90" s="64"/>
      <c r="N90" s="64"/>
      <c r="O90" s="64">
        <f>1.5*C17*12+C11</f>
        <v>93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7902.1028816385324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219.08902300206645</v>
      </c>
      <c r="P91" s="4" t="s">
        <v>5</v>
      </c>
    </row>
    <row r="92" spans="1:17" ht="18" x14ac:dyDescent="0.35">
      <c r="A92" s="68" t="s">
        <v>12</v>
      </c>
      <c r="B92" s="79">
        <f>+B91*0.85</f>
        <v>6716.787449392752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2242.6840299999999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0.33389236251666043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71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99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+IF(M98&gt;O101,0,IF(M98&gt;O100,1,IF(M98&gt;O99,3,4)))</f>
        <v>0</v>
      </c>
      <c r="F99" s="49"/>
      <c r="G99" s="49"/>
      <c r="H99" s="49"/>
      <c r="I99" s="50"/>
      <c r="J99" s="4" t="s">
        <v>224</v>
      </c>
      <c r="K99" s="64"/>
      <c r="L99" s="64"/>
      <c r="M99" s="64"/>
      <c r="N99" s="64"/>
      <c r="O99" s="64">
        <f>C17*12/2+C11</f>
        <v>33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60</v>
      </c>
      <c r="K100" s="64"/>
      <c r="L100" s="64"/>
      <c r="M100" s="64"/>
      <c r="N100" s="64"/>
      <c r="O100" s="64">
        <f>C17*12+C11</f>
        <v>63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12491.171999999999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60</v>
      </c>
      <c r="K101" s="64"/>
      <c r="L101" s="64"/>
      <c r="M101" s="64"/>
      <c r="N101" s="64"/>
      <c r="O101" s="64">
        <f>C17*12*1.5+C11</f>
        <v>93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1368.3393348153841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1163.0884345930765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</f>
        <v>-53.439344999999996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-4.594607203595532E-2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71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99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+IF(M109&gt;O110,0,3)</f>
        <v>0</v>
      </c>
      <c r="F110" s="49"/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C17*12*0.866+C11</f>
        <v>54.96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+C21*12*B109</f>
        <v>17892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23" ht="18.75" x14ac:dyDescent="0.35">
      <c r="A113" s="68" t="s">
        <v>7</v>
      </c>
      <c r="B113" s="79">
        <f>+B111*B112/1000</f>
        <v>1959.9703997764864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1665.9748398100135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31.281390000000005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1.8776628105360411E-2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10.49</v>
      </c>
      <c r="W126" s="4" t="s">
        <v>0</v>
      </c>
    </row>
    <row r="127" spans="1:23" ht="18" x14ac:dyDescent="0.35">
      <c r="A127" s="68" t="s">
        <v>1</v>
      </c>
      <c r="B127" s="53">
        <f>+B86</f>
        <v>71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12336.512780000001</v>
      </c>
      <c r="W127" s="49" t="s">
        <v>8</v>
      </c>
    </row>
    <row r="128" spans="1:23" ht="18.75" x14ac:dyDescent="0.35">
      <c r="A128" s="68" t="s">
        <v>54</v>
      </c>
      <c r="B128" s="54">
        <f>+B127/2</f>
        <v>35.5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10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v>15.98</v>
      </c>
      <c r="S130" s="4" t="s">
        <v>0</v>
      </c>
      <c r="U130" s="49" t="s">
        <v>11</v>
      </c>
      <c r="V130" s="49">
        <f>+B134</f>
        <v>508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12336.512780000001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</f>
        <v>12336.512780000001</v>
      </c>
      <c r="S131" s="49" t="s">
        <v>8</v>
      </c>
      <c r="T131" s="49"/>
      <c r="U131" s="49" t="s">
        <v>2</v>
      </c>
      <c r="V131" s="49">
        <f>+B135</f>
        <v>224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30.699305460983247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26742.102220988359</v>
      </c>
      <c r="W133" s="49" t="s">
        <v>8</v>
      </c>
    </row>
    <row r="134" spans="1:23" ht="18" x14ac:dyDescent="0.35">
      <c r="A134" s="68" t="s">
        <v>11</v>
      </c>
      <c r="B134" s="58">
        <f>4*(B127+C42)</f>
        <v>508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508</v>
      </c>
      <c r="S134" s="49" t="s">
        <v>0</v>
      </c>
      <c r="T134" s="49"/>
      <c r="U134" s="45" t="s">
        <v>12</v>
      </c>
      <c r="V134" s="49">
        <f>+V133*0.85</f>
        <v>22730.786887840106</v>
      </c>
      <c r="W134" s="49" t="s">
        <v>8</v>
      </c>
    </row>
    <row r="135" spans="1:23" ht="18" x14ac:dyDescent="0.35">
      <c r="A135" s="68" t="s">
        <v>2</v>
      </c>
      <c r="B135" s="58">
        <f>4*C42</f>
        <v>224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224</v>
      </c>
      <c r="S135" s="49" t="s">
        <v>0</v>
      </c>
      <c r="T135" s="49"/>
      <c r="U135" s="45" t="s">
        <v>14</v>
      </c>
      <c r="V135" s="49">
        <f>+V127/V134</f>
        <v>0.54272264488122279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20.152422671196135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27875.13457459892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Q137" s="45" t="s">
        <v>7</v>
      </c>
      <c r="R137" s="49">
        <f>+R136*(C9*1000)^0.5*R135*B127/1000</f>
        <v>17554.734186368449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23693.864388409082</v>
      </c>
      <c r="C138" s="48" t="s">
        <v>18</v>
      </c>
      <c r="D138" s="49"/>
      <c r="E138" s="49"/>
      <c r="F138" s="49"/>
      <c r="G138" s="49"/>
      <c r="H138" s="49"/>
      <c r="I138" s="50"/>
      <c r="Q138" s="45" t="s">
        <v>12</v>
      </c>
      <c r="R138" s="49">
        <f>+R137*0.85</f>
        <v>14921.524058413181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0.52066275799379358</v>
      </c>
      <c r="C139" s="48"/>
      <c r="D139" s="110" t="s">
        <v>235</v>
      </c>
      <c r="F139" s="4" t="s">
        <v>14</v>
      </c>
      <c r="G139" s="88">
        <f>+(B139+R139)/2</f>
        <v>0.67371116284827637</v>
      </c>
      <c r="H139" s="49"/>
      <c r="I139" s="50"/>
      <c r="Q139" s="45" t="s">
        <v>14</v>
      </c>
      <c r="R139" s="49">
        <f>+R131/R138</f>
        <v>0.82675956770275916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71.153499999999994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+C17*12/2-C42/2+C11</f>
        <v>5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7.0270612127302248E-2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4*1.6*C13-1.6*0.15*C21*C22*C20/12*((C21/2-C42/2/12)/C21)</f>
        <v>4926.0349699999997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1.6*C13*(1*B144)+1.6*C13*(2*(B144+C17/2*12))+1.6*C13*(1*(B144+C17*12))-1.6*0.15*C21*C22*C20/12*((C21/2-C42/2/12)/C21)*(C21/2-C42/2/12)*12/2</f>
        <v>169695.71353000001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2.0654889976105983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0.48414685392022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5828.01499512806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0.84523375010495472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69.460499999999996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+C17*12*0.866-C42/2+C11</f>
        <v>26.96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0.38813426335831158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3*1.6*C13-1.6*0.15*C21*C22*C20/12*((C22/2-C42/2/12)/C22)</f>
        <v>3669.9963900000002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1.6*C13*(3*B157)-1.6*0.15*C21*C22*C20/12*((C22/2-C42/2/12)/C22)*(C22/2-C42/2/12)*12/2</f>
        <v>98429.181761369997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2.5898801522664092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0.38611825304923786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8149.2567155368606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0.45034737744891701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71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76.970249999999979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35.5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91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20297.231500000002</v>
      </c>
      <c r="U171" s="4" t="s">
        <v>35</v>
      </c>
    </row>
    <row r="172" spans="1:32" ht="18.75" x14ac:dyDescent="0.35">
      <c r="A172" s="45"/>
      <c r="B172" s="53">
        <f>+C65</f>
        <v>21</v>
      </c>
      <c r="C172" s="48" t="s">
        <v>71</v>
      </c>
      <c r="D172" s="83" t="str">
        <f>"#"&amp;+C23</f>
        <v>#14</v>
      </c>
      <c r="E172" s="49" t="s">
        <v>72</v>
      </c>
      <c r="F172" s="49" t="s">
        <v>73</v>
      </c>
      <c r="G172" s="57">
        <f>+C22-0.5</f>
        <v>14.161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59.45803413047981</v>
      </c>
      <c r="AF172" s="4" t="s">
        <v>5</v>
      </c>
    </row>
    <row r="173" spans="1:32" ht="18.75" x14ac:dyDescent="0.35">
      <c r="A173" s="45"/>
      <c r="B173" s="55">
        <f>+B172*2</f>
        <v>42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2.0749831250000006</v>
      </c>
      <c r="H173" s="48" t="s">
        <v>74</v>
      </c>
      <c r="I173" s="50"/>
      <c r="Q173" s="4" t="s">
        <v>7</v>
      </c>
      <c r="R173" s="4">
        <f>+R172*T171/1000</f>
        <v>4446.9006189817683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2945.4735947029412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3779.8655261345029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1206.83348328125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25</v>
      </c>
      <c r="C176" s="48" t="s">
        <v>71</v>
      </c>
      <c r="D176" s="83" t="str">
        <f>"#"&amp;+C24</f>
        <v>#14</v>
      </c>
      <c r="E176" s="49" t="s">
        <v>72</v>
      </c>
      <c r="F176" s="49" t="s">
        <v>73</v>
      </c>
      <c r="G176" s="57">
        <f>+C21-0.5</f>
        <v>20.5</v>
      </c>
      <c r="H176" s="48" t="s">
        <v>74</v>
      </c>
      <c r="I176" s="50"/>
      <c r="Q176" s="4" t="s">
        <v>14</v>
      </c>
      <c r="R176" s="4">
        <f>+R175/R174</f>
        <v>0.31927947566839071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2.0749831250000006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3925.7121002824438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71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6871.1856949853845</v>
      </c>
      <c r="D180" s="48" t="s">
        <v>78</v>
      </c>
      <c r="E180" s="49" t="s">
        <v>79</v>
      </c>
      <c r="F180" s="88">
        <f>+C180/2000</f>
        <v>3.4355928474926922</v>
      </c>
      <c r="G180" s="48" t="s">
        <v>19</v>
      </c>
      <c r="H180" s="49"/>
      <c r="I180" s="50"/>
      <c r="Q180" s="4" t="s">
        <v>54</v>
      </c>
      <c r="T180" s="4">
        <f>+T179/2</f>
        <v>35.5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120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285.87650000000002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28817.231500000002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84.165214943748154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6313.5390949593748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5366.508230715468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2425.40848328125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0.45195281158786038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71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35.5</v>
      </c>
      <c r="U192" s="4" t="s">
        <v>0</v>
      </c>
      <c r="W192" s="64"/>
    </row>
    <row r="193" spans="1:54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143.46912500000002</v>
      </c>
      <c r="U193" s="4" t="s">
        <v>0</v>
      </c>
      <c r="V193" s="64"/>
      <c r="W193" s="64"/>
    </row>
    <row r="194" spans="1:54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10186.307875000002</v>
      </c>
      <c r="U194" s="4" t="s">
        <v>35</v>
      </c>
    </row>
    <row r="195" spans="1:54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118.81374347526406</v>
      </c>
      <c r="AF195" s="4" t="s">
        <v>5</v>
      </c>
    </row>
    <row r="196" spans="1:54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2231.708240332006</v>
      </c>
      <c r="S196" s="4" t="s">
        <v>8</v>
      </c>
      <c r="T196" s="4" t="s">
        <v>87</v>
      </c>
    </row>
    <row r="197" spans="1:54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1896.9520042822051</v>
      </c>
      <c r="S197" s="4" t="s">
        <v>8</v>
      </c>
    </row>
    <row r="198" spans="1:54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1210.2733708203125</v>
      </c>
      <c r="S198" s="4" t="s">
        <v>8</v>
      </c>
      <c r="T198" s="4" t="s">
        <v>350</v>
      </c>
    </row>
    <row r="199" spans="1:54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0.63800948473563124</v>
      </c>
      <c r="T199" s="4" t="s">
        <v>146</v>
      </c>
      <c r="V199" s="4">
        <f>+(C18*C18+C18*T170+3.1415*T170^2/4/4)/144</f>
        <v>43.041129123263886</v>
      </c>
      <c r="W199" s="4" t="s">
        <v>147</v>
      </c>
    </row>
    <row r="200" spans="1:54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4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4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71</v>
      </c>
      <c r="U202" s="4" t="s">
        <v>0</v>
      </c>
      <c r="V202" s="4" t="s">
        <v>53</v>
      </c>
      <c r="W202" s="64"/>
    </row>
    <row r="203" spans="1:54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4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147.82239999999999</v>
      </c>
      <c r="U204" s="4" t="s">
        <v>0</v>
      </c>
      <c r="V204" s="64"/>
      <c r="W204" s="64"/>
    </row>
    <row r="205" spans="1:54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10495.390399999998</v>
      </c>
      <c r="U205" s="4" t="s">
        <v>35</v>
      </c>
    </row>
    <row r="206" spans="1:54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116.10277422730272</v>
      </c>
      <c r="AF206" s="4" t="s">
        <v>5</v>
      </c>
    </row>
    <row r="207" spans="1:54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1149.7124143806336</v>
      </c>
      <c r="S207" s="4" t="s">
        <v>8</v>
      </c>
      <c r="T207" s="4" t="s">
        <v>93</v>
      </c>
    </row>
    <row r="208" spans="1:54" ht="18" x14ac:dyDescent="0.35"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977.25555222353853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</row>
    <row r="209" spans="1:54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1218.5439420386001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</row>
    <row r="210" spans="1:54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1.2469040869259436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</row>
    <row r="211" spans="1:54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</row>
    <row r="212" spans="1:54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</row>
    <row r="213" spans="1:54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</row>
    <row r="214" spans="1:54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4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4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4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4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3" max="37" man="1"/>
    <brk id="84" max="37" man="1"/>
    <brk id="125" max="37" man="1"/>
    <brk id="166" max="37" man="1"/>
    <brk id="207" max="37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239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160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320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15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3.75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27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41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20.737575</v>
      </c>
    </row>
    <row r="20" spans="1:17" ht="18" x14ac:dyDescent="0.35">
      <c r="A20" s="45"/>
      <c r="B20" s="46" t="s">
        <v>425</v>
      </c>
      <c r="C20" s="56">
        <v>63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17" x14ac:dyDescent="0.25">
      <c r="A21" s="45"/>
      <c r="B21" s="46" t="s">
        <v>426</v>
      </c>
      <c r="C21" s="53">
        <f>2*C18/12+3*C17</f>
        <v>15.75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1.41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2*C18/12+2*C17*0.8661</f>
        <v>10.995750000000001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1.5614040375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17" x14ac:dyDescent="0.25">
      <c r="A23" s="45"/>
      <c r="B23" s="46" t="s">
        <v>428</v>
      </c>
      <c r="C23" s="47">
        <v>11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51.885000000000005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53.295000000000002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53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16.925937102826811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15</v>
      </c>
    </row>
    <row r="30" spans="1:17" x14ac:dyDescent="0.25">
      <c r="A30" s="45" t="s">
        <v>123</v>
      </c>
      <c r="B30" s="49"/>
      <c r="C30" s="49"/>
      <c r="D30" s="49"/>
      <c r="F30" s="62" t="str">
        <f>+IF(B63&gt;B61,"NG; select smaller bar size","OK")</f>
        <v>NG; select smaller bar size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53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26.5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68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11321.966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42.41522430821643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2480.5184694026143</v>
      </c>
      <c r="L37" s="4" t="s">
        <v>8</v>
      </c>
      <c r="M37" s="4" t="s">
        <v>87</v>
      </c>
    </row>
    <row r="38" spans="1:25" ht="18" x14ac:dyDescent="0.35">
      <c r="A38" s="113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2108.4406989922222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480.2237275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1.6*11*C13-1.6*C21*C22*C20/12*0.15</f>
        <v>5413.7893412499998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0.22776250132599601</v>
      </c>
    </row>
    <row r="41" spans="1:25" x14ac:dyDescent="0.25">
      <c r="A41" s="45"/>
      <c r="B41" s="46" t="s">
        <v>433</v>
      </c>
      <c r="C41" s="58">
        <f>+(C40/4)^0.5</f>
        <v>36.789228522931815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37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1.6*C13*(4*(0.8661*C17*12+C11-C42/4))-1.6*(C22/2-C42/12/4)*C21*C20/12*0.15*(C22/2-C42/12/4)*12/2</f>
        <v>64359.166028105778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4086.2962557527476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51.885000000000005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1.5073355080134831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23.74053425121236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31.654045668283146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26.855562726866992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32.687550000000002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32.687550000000002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21.432600000000001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31.654045668283146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109"/>
      <c r="B57" s="76" t="s">
        <v>45</v>
      </c>
      <c r="C57" s="57">
        <f>+C21/C22</f>
        <v>1.4323715981174543</v>
      </c>
      <c r="D57" s="48"/>
      <c r="E57" s="49"/>
      <c r="F57" s="49"/>
      <c r="G57" s="49"/>
      <c r="H57" s="49"/>
      <c r="I57" s="50"/>
    </row>
    <row r="58" spans="1:9" ht="18" x14ac:dyDescent="0.35">
      <c r="A58" s="109"/>
      <c r="B58" s="76" t="s">
        <v>47</v>
      </c>
      <c r="C58" s="55">
        <f>2/(C57+1)</f>
        <v>0.82224278623706581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27.960585472951379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31.654045668283146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24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21.624086570303955</v>
      </c>
      <c r="D63" s="48" t="s">
        <v>0</v>
      </c>
      <c r="E63" s="49" t="str">
        <f>+IF(C63&gt;C61,"NG; insufficient length available to develop hook","OK; sufficient length available to develop hook")</f>
        <v>OK; 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20.272808900228775</v>
      </c>
      <c r="D64" s="48"/>
      <c r="E64" s="49"/>
      <c r="F64" s="49"/>
      <c r="G64" s="49"/>
      <c r="H64" s="49"/>
      <c r="I64" s="50"/>
    </row>
    <row r="65" spans="1:15" x14ac:dyDescent="0.25">
      <c r="A65" s="45"/>
      <c r="B65" s="46" t="s">
        <v>442</v>
      </c>
      <c r="C65" s="56">
        <v>20</v>
      </c>
      <c r="D65" s="48"/>
      <c r="E65" s="49"/>
      <c r="F65" s="49"/>
      <c r="G65" s="49"/>
      <c r="H65" s="49"/>
      <c r="I65" s="50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15" ht="18" x14ac:dyDescent="0.35">
      <c r="A68" s="45"/>
      <c r="B68" s="46" t="s">
        <v>26</v>
      </c>
      <c r="C68" s="69">
        <f>1.6*C13*(2*(0.5*C17*12+C11-C42/4))+1.6*C13*(1*(1*C17*12+C11-C42/4))+1.6*C13*(2*(1.5*C17*12+C11-C42/4))-1.6*(C21/2-C42/12/4)*C22*C20/12*0.15*(C21/2-C42/12/4)*12/2</f>
        <v>95004.604231132806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8640.1204311786641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53.295000000000002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3.1972360712805354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5.930428571428572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35.156008530782948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46.874678041043929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2.965214285714286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19.2585329706829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23.440739850000007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23.440739850000007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14.9630166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35.156008530782948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2.1029888551165152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2.965214285714286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55.085085510795238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55.085085510795238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73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73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22.515638288646958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22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53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45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26.5</v>
      </c>
      <c r="C87" s="48" t="s">
        <v>0</v>
      </c>
      <c r="D87" s="49"/>
      <c r="E87" s="49"/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+C17*12*0.866+C11</f>
        <v>41.97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+IF(M86&gt;O90,0,IF(M86&gt;O89,4,IF(M86&gt;O87,6,10)))</f>
        <v>6</v>
      </c>
      <c r="F88" s="49"/>
      <c r="G88" s="49"/>
      <c r="H88" s="49"/>
      <c r="I88" s="50"/>
      <c r="J88" s="4" t="s">
        <v>241</v>
      </c>
      <c r="K88" s="64"/>
      <c r="L88" s="64"/>
      <c r="M88" s="64"/>
      <c r="N88" s="64"/>
      <c r="O88" s="64">
        <f>+C17*12*0.5+C11</f>
        <v>25.5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242</v>
      </c>
      <c r="K89" s="64"/>
      <c r="L89" s="64"/>
      <c r="M89" s="64"/>
      <c r="N89" s="64"/>
      <c r="O89" s="64">
        <f>+C17*12+C11</f>
        <v>48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360</v>
      </c>
      <c r="C90" s="48" t="s">
        <v>0</v>
      </c>
      <c r="D90" s="49"/>
      <c r="E90" s="49"/>
      <c r="F90" s="49"/>
      <c r="G90" s="49"/>
      <c r="H90" s="49"/>
      <c r="I90" s="50"/>
      <c r="J90" s="4" t="s">
        <v>243</v>
      </c>
      <c r="K90" s="64"/>
      <c r="L90" s="64"/>
      <c r="M90" s="64"/>
      <c r="N90" s="64"/>
      <c r="O90" s="64">
        <f>+C17*12*1.5+C11</f>
        <v>70.5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4180.2185588794282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219.08902300206645</v>
      </c>
      <c r="P91" s="4" t="s">
        <v>5</v>
      </c>
    </row>
    <row r="92" spans="1:17" ht="18" x14ac:dyDescent="0.35">
      <c r="A92" s="68" t="s">
        <v>12</v>
      </c>
      <c r="B92" s="79">
        <f>+B91*0.85</f>
        <v>3553.1857750475137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2924.6643412500007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0.82311044972335889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53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71.5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+IF(M98&gt;O101,0,IF(M98&gt;O100,2,IF(M98&gt;O99,3,5)))</f>
        <v>0</v>
      </c>
      <c r="F99" s="49"/>
      <c r="G99" s="49"/>
      <c r="H99" s="49"/>
      <c r="I99" s="50"/>
      <c r="J99" s="4" t="s">
        <v>244</v>
      </c>
      <c r="K99" s="64"/>
      <c r="L99" s="64"/>
      <c r="M99" s="64"/>
      <c r="N99" s="64"/>
      <c r="O99" s="64">
        <f>0.5*C17*12+C11</f>
        <v>25.5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245</v>
      </c>
      <c r="K100" s="64"/>
      <c r="L100" s="64"/>
      <c r="M100" s="64"/>
      <c r="N100" s="64"/>
      <c r="O100" s="64">
        <f>1*C17*12+C11</f>
        <v>48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6993.2970000000005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246</v>
      </c>
      <c r="K101" s="64"/>
      <c r="L101" s="64"/>
      <c r="M101" s="64"/>
      <c r="N101" s="64"/>
      <c r="O101" s="64">
        <f>1.5*C17*12+C11</f>
        <v>70.5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766.07730364664121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651.16570809964503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</f>
        <v>-26.554736250000005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-4.0780305104666924E-2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53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71.5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+IF(M109&gt;O110,0,4)</f>
        <v>0</v>
      </c>
      <c r="F110" s="49"/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0.8661*C17*12+C11</f>
        <v>41.974499999999999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+C21*12*B109</f>
        <v>10017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23" ht="18.75" x14ac:dyDescent="0.35">
      <c r="A113" s="68" t="s">
        <v>7</v>
      </c>
      <c r="B113" s="79">
        <f>+B111*B112/1000</f>
        <v>1097.3073717058498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932.71126594997236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9.137795624999983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9.7970250372102878E-3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15.234999999999999</v>
      </c>
      <c r="W126" s="4" t="s">
        <v>0</v>
      </c>
    </row>
    <row r="127" spans="1:23" ht="18" x14ac:dyDescent="0.35">
      <c r="A127" s="68" t="s">
        <v>1</v>
      </c>
      <c r="B127" s="53">
        <f>+B86</f>
        <v>53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4913.76809125</v>
      </c>
      <c r="W127" s="49" t="s">
        <v>8</v>
      </c>
    </row>
    <row r="128" spans="1:23" ht="18.75" x14ac:dyDescent="0.35">
      <c r="A128" s="68" t="s">
        <v>54</v>
      </c>
      <c r="B128" s="54">
        <f>+B127/2</f>
        <v>26.5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10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7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+C17*12*0.866-C42/2+C11</f>
        <v>23.47</v>
      </c>
      <c r="S130" s="4" t="s">
        <v>0</v>
      </c>
      <c r="U130" s="49" t="s">
        <v>11</v>
      </c>
      <c r="V130" s="49">
        <f>+B134</f>
        <v>360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4913.76809125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</f>
        <v>4913.76809125</v>
      </c>
      <c r="S131" s="49" t="s">
        <v>8</v>
      </c>
      <c r="T131" s="49"/>
      <c r="U131" s="49" t="s">
        <v>2</v>
      </c>
      <c r="V131" s="49">
        <f>+B135</f>
        <v>148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16.924045804912232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7271.1382875159079</v>
      </c>
      <c r="W133" s="49" t="s">
        <v>8</v>
      </c>
    </row>
    <row r="134" spans="1:23" ht="18" x14ac:dyDescent="0.35">
      <c r="A134" s="68" t="s">
        <v>11</v>
      </c>
      <c r="B134" s="58">
        <f>4*(B127+C42)</f>
        <v>360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360</v>
      </c>
      <c r="S134" s="49" t="s">
        <v>0</v>
      </c>
      <c r="T134" s="49"/>
      <c r="U134" s="45" t="s">
        <v>12</v>
      </c>
      <c r="V134" s="49">
        <f>+V133*0.85</f>
        <v>6180.4675443885217</v>
      </c>
      <c r="W134" s="49" t="s">
        <v>8</v>
      </c>
    </row>
    <row r="135" spans="1:23" ht="18" x14ac:dyDescent="0.35">
      <c r="A135" s="68" t="s">
        <v>2</v>
      </c>
      <c r="B135" s="58">
        <f>4*C42</f>
        <v>148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148</v>
      </c>
      <c r="S135" s="49" t="s">
        <v>0</v>
      </c>
      <c r="T135" s="49"/>
      <c r="U135" s="45" t="s">
        <v>14</v>
      </c>
      <c r="V135" s="49">
        <f>+V127/V134</f>
        <v>0.79504795647885806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10.985847372724239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13748.274371425674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Q137" s="49" t="s">
        <v>7</v>
      </c>
      <c r="R137" s="49">
        <f>+R136*(C9*1000)^0.5*R135*B127/1000</f>
        <v>4719.8888713380857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11686.033215711823</v>
      </c>
      <c r="C138" s="48" t="s">
        <v>18</v>
      </c>
      <c r="D138" s="49"/>
      <c r="E138" s="49"/>
      <c r="F138" s="49"/>
      <c r="G138" s="49"/>
      <c r="H138" s="49"/>
      <c r="I138" s="50"/>
      <c r="Q138" s="49" t="s">
        <v>12</v>
      </c>
      <c r="R138" s="49">
        <f>+R137*0.85</f>
        <v>4011.9055406373727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0.42048212601718943</v>
      </c>
      <c r="C139" s="48"/>
      <c r="D139" s="110" t="s">
        <v>235</v>
      </c>
      <c r="F139" s="4" t="s">
        <v>14</v>
      </c>
      <c r="G139" s="88">
        <f>+(B139+R139)/2</f>
        <v>0.82263934126782656</v>
      </c>
      <c r="H139" s="49"/>
      <c r="I139" s="50"/>
      <c r="Q139" s="49" t="s">
        <v>14</v>
      </c>
      <c r="R139" s="49">
        <f>+R131/R138</f>
        <v>1.2247965565184638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53.295000000000002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+C17*12*0.5-C42/2+C11</f>
        <v>7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0.13134440379022422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5*1.6*C13-1.6*0.15*C21*C22*C20/12*((C21/2-C42/2/12)/C21)</f>
        <v>2472.2539150000002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1.6*C13*(2*B144)+1.6*C13*(1*(B144+0.5*C17*12))+1.6*C13*(2*(B144+1*C17*12))-1.6*0.15*C21*C22*C20/12*((C21/2-C42/2/12)/C21)*(C21/2-C42/2/12)*12/2</f>
        <v>72185.64877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1.8252765562825184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0.54786218371021411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3273.9506050160921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0.75512865441897792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51.885000000000005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+C17*12*0.8661-C42/2+C11</f>
        <v>23.474499999999999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0.45243326587645749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4*1.6*C13-1.6*0.15*C21*C22*C20/12*((C22/2-C42/2/12)/C22)</f>
        <v>1969.489045625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1.6*C13*(4*B157)-1.6*0.15*C21*C22*C20/12*((C22/2-C42/2/12)/C22)*(C22/2-C42/2/12)*12/2</f>
        <v>46212.141848262028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2.2112573675503904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0.45223139317690114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4565.4456635673887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0.43139031559211749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53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33.674484374999999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26.5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68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11321.966</v>
      </c>
      <c r="U171" s="4" t="s">
        <v>35</v>
      </c>
    </row>
    <row r="172" spans="1:32" ht="18.75" x14ac:dyDescent="0.35">
      <c r="A172" s="45"/>
      <c r="B172" s="53">
        <f>+C65</f>
        <v>20</v>
      </c>
      <c r="C172" s="48" t="s">
        <v>71</v>
      </c>
      <c r="D172" s="83" t="str">
        <f>"#"&amp;+C23</f>
        <v>#11</v>
      </c>
      <c r="E172" s="49" t="s">
        <v>72</v>
      </c>
      <c r="F172" s="49" t="s">
        <v>73</v>
      </c>
      <c r="G172" s="57">
        <f>+C22-0.5</f>
        <v>10.495750000000001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42.41522430821643</v>
      </c>
      <c r="AF172" s="4" t="s">
        <v>5</v>
      </c>
    </row>
    <row r="173" spans="1:32" ht="18.75" x14ac:dyDescent="0.35">
      <c r="A173" s="45"/>
      <c r="B173" s="55">
        <f>+B172*2</f>
        <v>40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1.7281312499999999</v>
      </c>
      <c r="H173" s="48" t="s">
        <v>74</v>
      </c>
      <c r="I173" s="50"/>
      <c r="Q173" s="4" t="s">
        <v>7</v>
      </c>
      <c r="R173" s="4">
        <f>+R172*T171/1000</f>
        <v>2480.5184694026143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1482.5718108177407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2108.4406989922222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480.2237275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22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15.25</v>
      </c>
      <c r="H176" s="48" t="s">
        <v>74</v>
      </c>
      <c r="I176" s="50"/>
      <c r="Q176" s="4" t="s">
        <v>14</v>
      </c>
      <c r="R176" s="4">
        <f>+R175/R174</f>
        <v>0.22776250132599601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1782.5487273945312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53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3265.1205382122716</v>
      </c>
      <c r="D180" s="48" t="s">
        <v>78</v>
      </c>
      <c r="E180" s="49" t="s">
        <v>79</v>
      </c>
      <c r="F180" s="88">
        <f>+C180/2000</f>
        <v>1.6325602691061358</v>
      </c>
      <c r="G180" s="48" t="s">
        <v>19</v>
      </c>
      <c r="H180" s="49"/>
      <c r="I180" s="50"/>
      <c r="Q180" s="4" t="s">
        <v>54</v>
      </c>
      <c r="T180" s="4">
        <f>+T179/2</f>
        <v>26.5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90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213.62200000000001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16091.966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59.995697697844996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3525.5731091224716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2996.7371427541007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965.44872750000002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0.32216663708206339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53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26.5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107.4055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5692.4915000000001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84.604813529365828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1247.1624011825677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1060.0880410051825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481.61218187499998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0.45431338081913658</v>
      </c>
      <c r="T199" s="4" t="s">
        <v>146</v>
      </c>
      <c r="V199" s="4">
        <f>+(C18*C18+C18*T170+3.1415*T170^2/4/4)/144</f>
        <v>24.117315972222222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53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117.3668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6220.4403999999995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77.465229051106476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681.41510493929172</v>
      </c>
      <c r="S207" s="4" t="s">
        <v>8</v>
      </c>
      <c r="T207" s="4" t="s">
        <v>93</v>
      </c>
    </row>
    <row r="208" spans="1:58" ht="18" x14ac:dyDescent="0.35"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579.2028391983979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481.86784038475639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0.83195006614893208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3" max="34" man="1"/>
    <brk id="84" max="34" man="1"/>
    <brk id="125" max="34" man="1"/>
    <brk id="166" max="34" man="1"/>
    <brk id="207" max="34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247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40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80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8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15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23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9.4245000000000001</v>
      </c>
    </row>
    <row r="20" spans="1:17" ht="18" x14ac:dyDescent="0.35">
      <c r="A20" s="45"/>
      <c r="B20" s="46" t="s">
        <v>425</v>
      </c>
      <c r="C20" s="56">
        <v>48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18.678525000000004</v>
      </c>
    </row>
    <row r="21" spans="1:17" x14ac:dyDescent="0.25">
      <c r="A21" s="45"/>
      <c r="B21" s="46" t="s">
        <v>426</v>
      </c>
      <c r="C21" s="53">
        <f>2*C18/12+3*C17</f>
        <v>11.5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0.75</v>
      </c>
      <c r="M21" s="4" t="s">
        <v>20</v>
      </c>
      <c r="N21" s="4" t="s">
        <v>37</v>
      </c>
      <c r="P21" s="4">
        <f>+IF(C24&lt;9,(C24/8),IF(C24=9,1.128,IF(C24=10,1.27,IF(C24=11,1.41,IF(C24=14,1.693,0)))))</f>
        <v>1.27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2*C18/12+2*C17</f>
        <v>8.5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0.44177343750000003</v>
      </c>
      <c r="M22" s="4" t="s">
        <v>35</v>
      </c>
      <c r="N22" s="4" t="s">
        <v>38</v>
      </c>
      <c r="P22" s="4">
        <f>3.1415*P21^2/4</f>
        <v>1.2667313375</v>
      </c>
      <c r="Q22" s="4" t="s">
        <v>35</v>
      </c>
    </row>
    <row r="23" spans="1:17" x14ac:dyDescent="0.25">
      <c r="A23" s="45"/>
      <c r="B23" s="46" t="s">
        <v>428</v>
      </c>
      <c r="C23" s="47">
        <v>6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10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37.354999999999997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38.365000000000002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38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9.027166454840966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8</v>
      </c>
    </row>
    <row r="30" spans="1:17" x14ac:dyDescent="0.25">
      <c r="A30" s="45" t="s">
        <v>123</v>
      </c>
      <c r="B30" s="49"/>
      <c r="C30" s="49"/>
      <c r="D30" s="49"/>
      <c r="F30" s="62" t="str">
        <f>+IF(B63&gt;B61,"NG; select smaller bar size","OK")</f>
        <v>NG; select smaller bar size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38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NG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19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46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applicable",IF(B139&lt;1,"OK","NG"))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5491.3420000000006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21.291876679082574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1203.0927537502137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1022.6288406876815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116.92097666666666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1.6*12*C13-1.6*C21*C22*C20/12*0.15</f>
        <v>1442.1600000000003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0.11433373675246775</v>
      </c>
    </row>
    <row r="41" spans="1:25" x14ac:dyDescent="0.25">
      <c r="A41" s="45"/>
      <c r="B41" s="46" t="s">
        <v>433</v>
      </c>
      <c r="C41" s="58">
        <f>+(C40/4)^0.5</f>
        <v>18.987890878135993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19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1.6*C13*(4*(C17*12+C11-C42/4))-1.6*(C22/2-C42/12/4)*C21*C20/12*0.15*(C22/2-C42/12/4)*12/2</f>
        <v>16552.03125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1439.3070652173913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37.354999999999997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0.73165964531321137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8.4140859211019308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11.218781228135908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14.11752153356778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17.183299999999999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17.183299999999999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11.923200000000001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11.923200000000001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109"/>
      <c r="B57" s="76" t="s">
        <v>45</v>
      </c>
      <c r="C57" s="57">
        <f>+C21/C22</f>
        <v>1.3529411764705883</v>
      </c>
      <c r="D57" s="48"/>
      <c r="E57" s="49"/>
      <c r="F57" s="49"/>
      <c r="G57" s="49"/>
      <c r="H57" s="49"/>
      <c r="I57" s="50"/>
    </row>
    <row r="58" spans="1:9" ht="18" x14ac:dyDescent="0.35">
      <c r="A58" s="109"/>
      <c r="B58" s="76" t="s">
        <v>47</v>
      </c>
      <c r="C58" s="55">
        <f>2/(C57+1)</f>
        <v>0.85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9.6761988092672198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11.923200000000001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12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11.502173707608486</v>
      </c>
      <c r="D63" s="48" t="s">
        <v>0</v>
      </c>
      <c r="E63" s="49" t="str">
        <f>+IF(C63&gt;C61,"NG; insufficient length available to develop hook","OK; sufficient length available to develop hook")</f>
        <v>OK; 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26.989399968168073</v>
      </c>
      <c r="D64" s="48"/>
      <c r="E64" s="49"/>
      <c r="F64" s="49"/>
      <c r="G64" s="49"/>
      <c r="H64" s="49"/>
      <c r="I64" s="50"/>
    </row>
    <row r="65" spans="1:15" x14ac:dyDescent="0.25">
      <c r="A65" s="45"/>
      <c r="B65" s="46" t="s">
        <v>442</v>
      </c>
      <c r="C65" s="56">
        <v>31</v>
      </c>
      <c r="D65" s="48"/>
      <c r="E65" s="49"/>
      <c r="F65" s="49"/>
      <c r="G65" s="49"/>
      <c r="H65" s="49"/>
      <c r="I65" s="50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15" ht="18" x14ac:dyDescent="0.35">
      <c r="A68" s="45"/>
      <c r="B68" s="46" t="s">
        <v>26</v>
      </c>
      <c r="C68" s="69">
        <f>1.6*C13*(3*(0.5*C17*12+C11-C42/4))+1.6*C13*(3*(1.5*C17*12+C11-C42/4))-1.6*(C21/2-C42/12/4)*C22*C20/12*0.15*(C21/2-C42/12/4)*12/2</f>
        <v>24900.458749999998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2929.4657352941176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38.365000000000002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1.4741590619373461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6.3153333333333332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12.530352026467442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3.6349999999999998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16.707136035289924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3.1576666666666666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10.716821718529706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13.0441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13.0441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8.8127999999999993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13.0441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2.4863517060367455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3.1576666666666666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41.965562213663794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41.965562213663794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56.5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56.5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10.297447938521534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16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38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28.5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19</v>
      </c>
      <c r="C87" s="48" t="s">
        <v>0</v>
      </c>
      <c r="D87" s="49"/>
      <c r="E87" s="49"/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+C17*12+C11</f>
        <v>39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+IF(M86&gt;O89,0,IF(M86&gt;O87,6,IF(M86&gt;O88,10,12)))</f>
        <v>10</v>
      </c>
      <c r="F88" s="49"/>
      <c r="G88" s="49"/>
      <c r="H88" s="49"/>
      <c r="I88" s="50"/>
      <c r="J88" s="4" t="s">
        <v>57</v>
      </c>
      <c r="K88" s="64"/>
      <c r="L88" s="64"/>
      <c r="M88" s="64"/>
      <c r="N88" s="64"/>
      <c r="O88" s="64">
        <f>+C17*12/2+C11</f>
        <v>21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248</v>
      </c>
      <c r="K89" s="64"/>
      <c r="L89" s="64"/>
      <c r="M89" s="64"/>
      <c r="N89" s="64"/>
      <c r="O89" s="64">
        <f>1.5*C17*12+C11</f>
        <v>57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228</v>
      </c>
      <c r="C90" s="48" t="s">
        <v>0</v>
      </c>
      <c r="D90" s="49"/>
      <c r="E90" s="49"/>
      <c r="F90" s="49"/>
      <c r="G90" s="49"/>
      <c r="H90" s="49"/>
      <c r="I90" s="50"/>
    </row>
    <row r="91" spans="1:17" ht="18.75" x14ac:dyDescent="0.35">
      <c r="A91" s="68" t="s">
        <v>7</v>
      </c>
      <c r="B91" s="79">
        <f>+B89*B90*B86/1000</f>
        <v>1898.1872952899037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219.08902300206645</v>
      </c>
      <c r="P91" s="4" t="s">
        <v>5</v>
      </c>
    </row>
    <row r="92" spans="1:17" ht="18" x14ac:dyDescent="0.35">
      <c r="A92" s="68" t="s">
        <v>12</v>
      </c>
      <c r="B92" s="79">
        <f>+B91*0.85</f>
        <v>1613.4592009964181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1207.8200000000002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0.74859035744696312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38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47.5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+IF(M98&gt;O100,0,IF(M98&gt;O99,3,6))</f>
        <v>3</v>
      </c>
      <c r="F99" s="49"/>
      <c r="G99" s="49"/>
      <c r="H99" s="49"/>
      <c r="I99" s="50"/>
      <c r="J99" s="4" t="s">
        <v>249</v>
      </c>
      <c r="K99" s="64"/>
      <c r="L99" s="64"/>
      <c r="M99" s="64"/>
      <c r="N99" s="64"/>
      <c r="O99" s="64">
        <f>C17*12/2+C11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60</v>
      </c>
      <c r="K100" s="64"/>
      <c r="L100" s="64"/>
      <c r="M100" s="64"/>
      <c r="N100" s="64"/>
      <c r="O100" s="64">
        <f>1.5*C17*12+C11</f>
        <v>57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3876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109.54451150103323</v>
      </c>
      <c r="P101" s="4" t="s">
        <v>5</v>
      </c>
    </row>
    <row r="102" spans="1:17" ht="18.75" x14ac:dyDescent="0.35">
      <c r="A102" s="68" t="s">
        <v>7</v>
      </c>
      <c r="B102" s="79">
        <f>+B100*B101/1000</f>
        <v>424.59452657800477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360.90534759130406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369.38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1.0234816482084736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38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47.5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+IF(M109&gt;O110,0,4)</f>
        <v>0</v>
      </c>
      <c r="F110" s="49"/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C17*12+C11</f>
        <v>39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+C21*12*B109</f>
        <v>5244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23" ht="18.75" x14ac:dyDescent="0.35">
      <c r="A113" s="68" t="s">
        <v>7</v>
      </c>
      <c r="B113" s="79">
        <f>+B111*B112/1000</f>
        <v>574.45141831141825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488.28370556470549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-3.219999999999998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-6.594526836147507E-3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20.5</v>
      </c>
      <c r="W126" s="4" t="s">
        <v>0</v>
      </c>
    </row>
    <row r="127" spans="1:23" ht="18" x14ac:dyDescent="0.35">
      <c r="A127" s="68" t="s">
        <v>1</v>
      </c>
      <c r="B127" s="53">
        <f>+B86</f>
        <v>38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1444.5666666666668</v>
      </c>
      <c r="W127" s="49" t="s">
        <v>8</v>
      </c>
    </row>
    <row r="128" spans="1:23" ht="18.75" x14ac:dyDescent="0.35">
      <c r="A128" s="68" t="s">
        <v>54</v>
      </c>
      <c r="B128" s="54">
        <f>+B127/2</f>
        <v>19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OK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12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11.5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+C17*12-C42/2+C11</f>
        <v>29.5</v>
      </c>
      <c r="S130" s="4" t="s">
        <v>0</v>
      </c>
      <c r="U130" s="49" t="s">
        <v>11</v>
      </c>
      <c r="V130" s="49">
        <f>+B134</f>
        <v>228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1444.5666666666668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</f>
        <v>1444.5666666666668</v>
      </c>
      <c r="S131" s="49" t="s">
        <v>8</v>
      </c>
      <c r="T131" s="49"/>
      <c r="U131" s="49" t="s">
        <v>2</v>
      </c>
      <c r="V131" s="49">
        <f>+B135</f>
        <v>76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11.121951219512196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1759.2955419760085</v>
      </c>
      <c r="W133" s="49" t="s">
        <v>8</v>
      </c>
    </row>
    <row r="134" spans="1:23" ht="18" x14ac:dyDescent="0.35">
      <c r="A134" s="68" t="s">
        <v>11</v>
      </c>
      <c r="B134" s="58">
        <f>4*(B127+C42)</f>
        <v>228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228</v>
      </c>
      <c r="S134" s="49" t="s">
        <v>0</v>
      </c>
      <c r="T134" s="49"/>
      <c r="U134" s="45" t="s">
        <v>12</v>
      </c>
      <c r="V134" s="49">
        <f>+V133*0.85</f>
        <v>1495.4012106796072</v>
      </c>
      <c r="W134" s="49" t="s">
        <v>8</v>
      </c>
    </row>
    <row r="135" spans="1:23" ht="18" x14ac:dyDescent="0.35">
      <c r="A135" s="68" t="s">
        <v>2</v>
      </c>
      <c r="B135" s="58">
        <f>4*C42</f>
        <v>76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1085.9195053145902</v>
      </c>
      <c r="P135" s="4" t="s">
        <v>5</v>
      </c>
      <c r="Q135" s="49" t="s">
        <v>2</v>
      </c>
      <c r="R135" s="49">
        <f>+B135</f>
        <v>76</v>
      </c>
      <c r="S135" s="49" t="s">
        <v>0</v>
      </c>
      <c r="T135" s="49"/>
      <c r="U135" s="45" t="s">
        <v>14</v>
      </c>
      <c r="V135" s="49">
        <f>+V127/V134</f>
        <v>0.96600608341768168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19.826086956521738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7.7288135593220328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3136.1355313485365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13.777450257921885</v>
      </c>
      <c r="Q137" s="49" t="s">
        <v>7</v>
      </c>
      <c r="R137" s="49">
        <f>+R136*(C9*1000)^0.5*R135*B127/1000</f>
        <v>1222.5613088307853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2665.715201646256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2179.3484200896605</v>
      </c>
      <c r="Q138" s="49" t="s">
        <v>12</v>
      </c>
      <c r="R138" s="49">
        <f>+R137*0.85</f>
        <v>1039.1771125061675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0.54190585167333372</v>
      </c>
      <c r="C139" s="48"/>
      <c r="D139" s="110" t="s">
        <v>235</v>
      </c>
      <c r="F139" s="4" t="s">
        <v>14</v>
      </c>
      <c r="G139" s="88">
        <f>+(B139+R139)/2</f>
        <v>0.9660060834176819</v>
      </c>
      <c r="H139" s="49"/>
      <c r="I139" s="50"/>
      <c r="K139" s="4">
        <f>+R131/K138</f>
        <v>0.66284337710774854</v>
      </c>
      <c r="Q139" s="49" t="s">
        <v>14</v>
      </c>
      <c r="R139" s="49">
        <f>+R131/R138</f>
        <v>1.3901063151620301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38.365000000000002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+C17*12/2-C42/2+C11</f>
        <v>11.5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0.29975237846995956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6*1.6*C13-1.6*0.15*C21*C22*C20/12*((C21/2-C42/2/12)/C21)</f>
        <v>727.54000000000008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1.6*C13*(3*B144)+1.6*C13*(3*(B144+C17*12))-1.6*0.15*C21*C22*C20/12*((C21/2-C42/2/12)/C21)*(C21/2-C42/2/12)*12/2</f>
        <v>21452.314999999999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1.3011216784761928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67</v>
      </c>
      <c r="B149" s="58">
        <f>1/B148</f>
        <v>0.7685676263354162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1821.8596921500503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0.39933920440459425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37.354999999999997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+C17*12-C42/2+C11</f>
        <v>29.5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0.78972025163967352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4*1.6*C13-1.6*0.15*C21*C22*C20/12*((C22/2-C42/2/12)/C22)</f>
        <v>473.82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1.6*C13*(4*B157)-1.6*0.15*C21*C22*C20/12*((C22/2-C42/2/12)/C22)*(C22/2-C42/2/12)*12/2</f>
        <v>14311.764999999999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1.2367130189742495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207.51634235079604</v>
      </c>
      <c r="P161" s="4" t="s">
        <v>5</v>
      </c>
    </row>
    <row r="162" spans="1:32" ht="18" x14ac:dyDescent="0.35">
      <c r="A162" s="68" t="s">
        <v>67</v>
      </c>
      <c r="B162" s="58">
        <f>1/B161</f>
        <v>0.80859502945106598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3.7887127252165205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909.28296920669038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0.52109191092997953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38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14.481481481481481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19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46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5491.3420000000006</v>
      </c>
      <c r="U171" s="4" t="s">
        <v>35</v>
      </c>
    </row>
    <row r="172" spans="1:32" ht="18.75" x14ac:dyDescent="0.35">
      <c r="A172" s="45"/>
      <c r="B172" s="53">
        <f>+C65</f>
        <v>31</v>
      </c>
      <c r="C172" s="48" t="s">
        <v>71</v>
      </c>
      <c r="D172" s="83" t="str">
        <f>"#"&amp;+C23</f>
        <v>#6</v>
      </c>
      <c r="E172" s="49" t="s">
        <v>72</v>
      </c>
      <c r="F172" s="49" t="s">
        <v>73</v>
      </c>
      <c r="G172" s="57">
        <f>+C22-0.5</f>
        <v>8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21.291876679082574</v>
      </c>
      <c r="AF172" s="4" t="s">
        <v>5</v>
      </c>
    </row>
    <row r="173" spans="1:32" ht="18.75" x14ac:dyDescent="0.35">
      <c r="A173" s="45"/>
      <c r="B173" s="55">
        <f>+B172*2</f>
        <v>62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0.78537500000000005</v>
      </c>
      <c r="H173" s="48" t="s">
        <v>74</v>
      </c>
      <c r="I173" s="50"/>
      <c r="Q173" s="4" t="s">
        <v>7</v>
      </c>
      <c r="R173" s="4">
        <f>+R172*T171/1000</f>
        <v>1203.0927537502137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446.00615623901376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1022.6288406876815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116.92097666666666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16</v>
      </c>
      <c r="C176" s="48" t="s">
        <v>71</v>
      </c>
      <c r="D176" s="83" t="str">
        <f>"#"&amp;+C24</f>
        <v>#10</v>
      </c>
      <c r="E176" s="49" t="s">
        <v>72</v>
      </c>
      <c r="F176" s="49" t="s">
        <v>73</v>
      </c>
      <c r="G176" s="57">
        <f>+C21-0.5</f>
        <v>11</v>
      </c>
      <c r="H176" s="48" t="s">
        <v>74</v>
      </c>
      <c r="I176" s="50"/>
      <c r="Q176" s="4" t="s">
        <v>14</v>
      </c>
      <c r="R176" s="4">
        <f>+R175/R174</f>
        <v>0.11433373675246775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1.5565437500000003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758.63132323611114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38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1204.637479475125</v>
      </c>
      <c r="D180" s="48" t="s">
        <v>78</v>
      </c>
      <c r="E180" s="49" t="s">
        <v>79</v>
      </c>
      <c r="F180" s="88">
        <f>+C180/2000</f>
        <v>0.60231873973756256</v>
      </c>
      <c r="G180" s="48" t="s">
        <v>19</v>
      </c>
      <c r="H180" s="49"/>
      <c r="I180" s="50"/>
      <c r="Q180" s="4" t="s">
        <v>54</v>
      </c>
      <c r="T180" s="4">
        <f>+T179/2</f>
        <v>19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144.50900000000001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8227.3420000000006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28.427282671203734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1802.5203206838673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1532.1422725812872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233.88097666666667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0.15264964674111764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38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19</v>
      </c>
      <c r="U192" s="4" t="s">
        <v>0</v>
      </c>
      <c r="W192" s="64"/>
    </row>
    <row r="193" spans="1:54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66.127250000000004</v>
      </c>
      <c r="U193" s="4" t="s">
        <v>0</v>
      </c>
      <c r="V193" s="64"/>
      <c r="W193" s="64"/>
    </row>
    <row r="194" spans="1:54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2512.8355000000001</v>
      </c>
      <c r="U194" s="4" t="s">
        <v>35</v>
      </c>
    </row>
    <row r="195" spans="1:54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47.408691960403566</v>
      </c>
      <c r="AF195" s="4" t="s">
        <v>5</v>
      </c>
    </row>
    <row r="196" spans="1:54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550.53467465990923</v>
      </c>
      <c r="S196" s="4" t="s">
        <v>8</v>
      </c>
      <c r="T196" s="4" t="s">
        <v>87</v>
      </c>
    </row>
    <row r="197" spans="1:54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467.95447346092283</v>
      </c>
      <c r="S197" s="4" t="s">
        <v>8</v>
      </c>
    </row>
    <row r="198" spans="1:54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119.13024416666667</v>
      </c>
      <c r="S198" s="4" t="s">
        <v>8</v>
      </c>
      <c r="T198" s="4" t="s">
        <v>350</v>
      </c>
    </row>
    <row r="199" spans="1:54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0.2545765687110475</v>
      </c>
      <c r="T199" s="4" t="s">
        <v>146</v>
      </c>
      <c r="V199" s="4">
        <f>+(C18*C18+C18*T170+3.1415*T170^2/4/4)/144</f>
        <v>9.2393289930555564</v>
      </c>
      <c r="W199" s="4" t="s">
        <v>147</v>
      </c>
    </row>
    <row r="200" spans="1:54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4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4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38</v>
      </c>
      <c r="U202" s="4" t="s">
        <v>0</v>
      </c>
      <c r="V202" s="4" t="s">
        <v>53</v>
      </c>
      <c r="W202" s="64"/>
    </row>
    <row r="203" spans="1:54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4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76.425999999999988</v>
      </c>
      <c r="U204" s="4" t="s">
        <v>0</v>
      </c>
      <c r="V204" s="64"/>
      <c r="W204" s="64"/>
    </row>
    <row r="205" spans="1:54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2904.1879999999996</v>
      </c>
      <c r="U205" s="4" t="s">
        <v>35</v>
      </c>
    </row>
    <row r="206" spans="1:54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40.722328440344363</v>
      </c>
      <c r="AF206" s="4" t="s">
        <v>5</v>
      </c>
    </row>
    <row r="207" spans="1:54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318.13785576716265</v>
      </c>
      <c r="S207" s="4" t="s">
        <v>8</v>
      </c>
      <c r="T207" s="4" t="s">
        <v>93</v>
      </c>
    </row>
    <row r="208" spans="1:54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270.41717740208827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</row>
    <row r="209" spans="1:54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118.26529758850678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</row>
    <row r="210" spans="1:54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0.43734388001785823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</row>
    <row r="211" spans="1:54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</row>
    <row r="212" spans="1:54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</row>
    <row r="213" spans="1:54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</row>
    <row r="214" spans="1:54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4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4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4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4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3" max="37" man="1"/>
    <brk id="84" max="37" man="1"/>
    <brk id="125" max="37" man="1"/>
    <brk id="166" max="37" man="1"/>
    <brk id="207" max="37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250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120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240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12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35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12.566000000000001</v>
      </c>
    </row>
    <row r="20" spans="1:17" ht="18" x14ac:dyDescent="0.35">
      <c r="A20" s="45"/>
      <c r="B20" s="46" t="s">
        <v>425</v>
      </c>
      <c r="C20" s="56">
        <v>58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18.678525000000004</v>
      </c>
    </row>
    <row r="21" spans="1:17" x14ac:dyDescent="0.25">
      <c r="A21" s="45"/>
      <c r="B21" s="46" t="s">
        <v>426</v>
      </c>
      <c r="C21" s="53">
        <f>2*C18/12+4*C17*0.866</f>
        <v>13.891999999999999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</v>
      </c>
      <c r="M21" s="4" t="s">
        <v>20</v>
      </c>
      <c r="N21" s="4" t="s">
        <v>37</v>
      </c>
      <c r="P21" s="4">
        <f>+IF(C24&lt;9,(C24/8),IF(C24=9,1.128,IF(C24=10,1.27,IF(C24=11,1.41,IF(C24=14,1.693,0)))))</f>
        <v>1.27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2*C18/12+2*C17</f>
        <v>9.5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0.78537500000000005</v>
      </c>
      <c r="M22" s="4" t="s">
        <v>35</v>
      </c>
      <c r="N22" s="4" t="s">
        <v>38</v>
      </c>
      <c r="P22" s="4">
        <f>3.1415*P21^2/4</f>
        <v>1.2667313375</v>
      </c>
      <c r="Q22" s="4" t="s">
        <v>35</v>
      </c>
    </row>
    <row r="23" spans="1:17" x14ac:dyDescent="0.25">
      <c r="A23" s="45"/>
      <c r="B23" s="46" t="s">
        <v>428</v>
      </c>
      <c r="C23" s="47">
        <v>8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10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47.23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48.365000000000002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48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13.540749682261449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M29" s="4">
        <f>+IF(C8="Round",C16,L27)</f>
        <v>12</v>
      </c>
    </row>
    <row r="30" spans="1:17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48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24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60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9047.52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39.925208786496192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1982.2123173916564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1684.8804697829078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361.22412500000002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1.6*13*C13-1.6*C21*C22*C20/12*0.15</f>
        <v>4838.9101600000004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0.21439154377909239</v>
      </c>
    </row>
    <row r="41" spans="1:25" x14ac:dyDescent="0.25">
      <c r="A41" s="45"/>
      <c r="B41" s="46" t="s">
        <v>433</v>
      </c>
      <c r="C41" s="58">
        <f>+(C40/4)^0.5</f>
        <v>34.781137704221237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35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1.6*C13*(2*(0.5*C17*12+C11-C42/4))+1.6*C13*(3*(1*C17*12+C11-C42/4))-1.6*(C22/2-C42/12/4)*C21*C20/12*0.15*(C22/2-C42/12/4)*12/2</f>
        <v>42692.830194583337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3073.1953782452733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47.23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1.2423539210274299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17.258780670913055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23.011707561217406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21.562275860600472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26.2447664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26.2447664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17.403897600000001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23.011707561217406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1.4623157894736842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0.8122435020519837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5.7037142857142857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20.49922888853661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3.5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23.011707561217406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2.8518571428571429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2.8518571428571429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32.863353450309965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36.5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29.300280198908045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29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32.863353450309965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36.5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1.6*C13*(2*(0.866*C17*12+C11-C42/4))+1.6*C13*(3*(2*0.866*C17*12+C11-C42/4))-1.6*(C21/2-C42/12/4)*C22*C20/12*0.15*(C21/2-C42/12/4)*12/2</f>
        <v>82177.199016163344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8650.2314753856153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48.365000000000002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3.5783415881424077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4.2692000000000005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33.994245087352873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3.6349999999999998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45.325660116470495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2.1346000000000003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15.099642851430293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18.378700000000002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18.378700000000002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11.9016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33.994245087352873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1.6807874015748034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2.1346000000000003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62.078729949410821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62.078729949410821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62.852000000000004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62.852000000000004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26.836191764579972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26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48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41.5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24</v>
      </c>
      <c r="C87" s="48" t="s">
        <v>0</v>
      </c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+C17*12*0.5+C11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+IF(M86&gt;O90,0,IF(M86&gt;O88,6,IF(M86&gt;O89,8,12)))</f>
        <v>6</v>
      </c>
      <c r="G88" s="49"/>
      <c r="H88" s="49"/>
      <c r="I88" s="50"/>
      <c r="J88" s="4" t="s">
        <v>251</v>
      </c>
      <c r="K88" s="64"/>
      <c r="L88" s="64"/>
      <c r="M88" s="64"/>
      <c r="N88" s="64"/>
      <c r="O88" s="64">
        <f>+C17*12+C11</f>
        <v>39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241</v>
      </c>
      <c r="K89" s="64"/>
      <c r="L89" s="64"/>
      <c r="M89" s="64"/>
      <c r="N89" s="64"/>
      <c r="O89" s="64">
        <f>+C17*12*0.866+C11</f>
        <v>34.176000000000002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332</v>
      </c>
      <c r="C90" s="48" t="s">
        <v>0</v>
      </c>
      <c r="D90" s="49"/>
      <c r="E90" s="49"/>
      <c r="F90" s="49"/>
      <c r="G90" s="49"/>
      <c r="H90" s="49"/>
      <c r="I90" s="50"/>
      <c r="J90" s="4" t="s">
        <v>242</v>
      </c>
      <c r="K90" s="64"/>
      <c r="L90" s="64"/>
      <c r="M90" s="64"/>
      <c r="N90" s="64"/>
      <c r="O90" s="64">
        <f>+C17*12*2*0.866+C11</f>
        <v>65.352000000000004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3491.4026705609313</v>
      </c>
      <c r="C91" s="48" t="s">
        <v>18</v>
      </c>
      <c r="D91" s="49" t="s">
        <v>15</v>
      </c>
      <c r="E91" s="49"/>
      <c r="F91" s="49"/>
      <c r="G91" s="49"/>
      <c r="H91" s="49"/>
      <c r="I91" s="50"/>
      <c r="K91" s="64"/>
      <c r="L91" s="64"/>
      <c r="M91" s="64"/>
      <c r="N91" s="64"/>
      <c r="O91" s="64"/>
    </row>
    <row r="92" spans="1:17" ht="18" x14ac:dyDescent="0.35">
      <c r="A92" s="68" t="s">
        <v>12</v>
      </c>
      <c r="B92" s="79">
        <f>+B91*0.85</f>
        <v>2967.6922699767915</v>
      </c>
      <c r="C92" s="48" t="s">
        <v>18</v>
      </c>
      <c r="D92" s="49"/>
      <c r="E92" s="49"/>
      <c r="F92" s="49"/>
      <c r="G92" s="49"/>
      <c r="H92" s="49"/>
      <c r="I92" s="50"/>
      <c r="L92" s="4" t="s">
        <v>83</v>
      </c>
      <c r="O92" s="4">
        <f>+B89</f>
        <v>219.08902300206645</v>
      </c>
      <c r="P92" s="4" t="s">
        <v>5</v>
      </c>
    </row>
    <row r="93" spans="1:17" ht="18" x14ac:dyDescent="0.35">
      <c r="A93" s="68" t="s">
        <v>58</v>
      </c>
      <c r="B93" s="79">
        <f>+E88*1.6*C13-1.6*0.15*C21*C22*C20/12+1.6*0.15*(2*M86)/12*(2*M86)/12*C20/12</f>
        <v>2206.4048822222226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0.74347495680186459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48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65.5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+IF(M98&gt;O100,0,IF(M98&gt;O99,3,5))</f>
        <v>0</v>
      </c>
      <c r="G99" s="49"/>
      <c r="H99" s="49"/>
      <c r="I99" s="50"/>
      <c r="J99" s="4" t="s">
        <v>244</v>
      </c>
      <c r="K99" s="64"/>
      <c r="L99" s="64"/>
      <c r="M99" s="64"/>
      <c r="N99" s="64"/>
      <c r="O99" s="64">
        <f>0.866*C17*12+C11</f>
        <v>34.176000000000002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245</v>
      </c>
      <c r="K100" s="64"/>
      <c r="L100" s="64"/>
      <c r="M100" s="64"/>
      <c r="N100" s="64"/>
      <c r="O100" s="64">
        <f>2*0.866*C17*12+C11</f>
        <v>65.352000000000004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5472</v>
      </c>
      <c r="C101" s="48" t="s">
        <v>436</v>
      </c>
      <c r="D101" s="49"/>
      <c r="E101" s="49"/>
      <c r="F101" s="49"/>
      <c r="G101" s="49"/>
      <c r="H101" s="49"/>
      <c r="I101" s="50"/>
      <c r="K101" s="64"/>
      <c r="L101" s="64"/>
      <c r="M101" s="64"/>
      <c r="N101" s="64"/>
      <c r="O101" s="64"/>
    </row>
    <row r="102" spans="1:17" ht="18.75" x14ac:dyDescent="0.35">
      <c r="A102" s="68" t="s">
        <v>7</v>
      </c>
      <c r="B102" s="79">
        <f>+B100*B101/1000</f>
        <v>599.42756693365379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509.51343189360568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</f>
        <v>-16.394086666666666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-3.2175965618292092E-2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48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65.5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+IF(M109&gt;O111,0,IF(M109&gt;O110,3,5))</f>
        <v>0</v>
      </c>
      <c r="G110" s="49"/>
      <c r="H110" s="49"/>
      <c r="I110" s="50"/>
      <c r="J110" s="4" t="s">
        <v>252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253</v>
      </c>
      <c r="K111" s="64"/>
      <c r="L111" s="64"/>
      <c r="M111" s="64"/>
      <c r="N111" s="64"/>
      <c r="O111" s="64">
        <f>C17*12+C11</f>
        <v>39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+C21*12*B109</f>
        <v>8001.7920000000004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23" ht="18.75" x14ac:dyDescent="0.35">
      <c r="A113" s="68" t="s">
        <v>7</v>
      </c>
      <c r="B113" s="79">
        <f>+B111*B112/1000</f>
        <v>876.5523957728758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745.06953640694439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11.414593333333327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1.5320171843798039E-2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10.087999999999999</v>
      </c>
      <c r="W126" s="4" t="s">
        <v>0</v>
      </c>
    </row>
    <row r="127" spans="1:23" ht="18" x14ac:dyDescent="0.35">
      <c r="A127" s="68" t="s">
        <v>1</v>
      </c>
      <c r="B127" s="53">
        <f>+B86</f>
        <v>48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4464.778215555556</v>
      </c>
      <c r="W127" s="49" t="s">
        <v>8</v>
      </c>
    </row>
    <row r="128" spans="1:23" ht="18.75" x14ac:dyDescent="0.35">
      <c r="A128" s="68" t="s">
        <v>54</v>
      </c>
      <c r="B128" s="54">
        <f>+B127/2</f>
        <v>24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12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3.5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+C17*12*0.866-C42/2+C11</f>
        <v>16.675999999999998</v>
      </c>
      <c r="S130" s="4" t="s">
        <v>0</v>
      </c>
      <c r="U130" s="49" t="s">
        <v>11</v>
      </c>
      <c r="V130" s="49">
        <f>+B134</f>
        <v>332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4464.778215555556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</f>
        <v>4464.778215555556</v>
      </c>
      <c r="S131" s="49" t="s">
        <v>8</v>
      </c>
      <c r="T131" s="49"/>
      <c r="U131" s="49" t="s">
        <v>2</v>
      </c>
      <c r="V131" s="49">
        <f>+B135</f>
        <v>140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22.567123598051435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8306.2712225874657</v>
      </c>
      <c r="W133" s="49" t="s">
        <v>8</v>
      </c>
    </row>
    <row r="134" spans="1:23" ht="18" x14ac:dyDescent="0.35">
      <c r="A134" s="68" t="s">
        <v>11</v>
      </c>
      <c r="B134" s="58">
        <f>4*(B127+C42)</f>
        <v>332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332</v>
      </c>
      <c r="S134" s="49" t="s">
        <v>0</v>
      </c>
      <c r="T134" s="49"/>
      <c r="U134" s="45" t="s">
        <v>12</v>
      </c>
      <c r="V134" s="49">
        <f>+V133*0.85</f>
        <v>7060.3305391993454</v>
      </c>
      <c r="W134" s="49" t="s">
        <v>8</v>
      </c>
    </row>
    <row r="135" spans="1:23" ht="18" x14ac:dyDescent="0.35">
      <c r="A135" s="68" t="s">
        <v>2</v>
      </c>
      <c r="B135" s="58">
        <f>4*C42</f>
        <v>140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140</v>
      </c>
      <c r="S135" s="49" t="s">
        <v>0</v>
      </c>
      <c r="T135" s="49"/>
      <c r="U135" s="45" t="s">
        <v>14</v>
      </c>
      <c r="V135" s="49">
        <f>+V127/V134</f>
        <v>0.63237523948303276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13.651783572627901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11778.225876591094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22.825891786313949</v>
      </c>
      <c r="Q137" s="49" t="s">
        <v>7</v>
      </c>
      <c r="R137" s="49">
        <f>+R136*(C9*1000)^0.5*R135*B127/1000</f>
        <v>5024.8059542733481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10011.491995102429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8401.5159154322191</v>
      </c>
      <c r="Q138" s="49" t="s">
        <v>12</v>
      </c>
      <c r="R138" s="49">
        <f>+R137*0.85</f>
        <v>4271.0850611323458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0.44596531843003046</v>
      </c>
      <c r="C139" s="48"/>
      <c r="D139" s="110" t="s">
        <v>235</v>
      </c>
      <c r="F139" s="4" t="s">
        <v>14</v>
      </c>
      <c r="G139" s="88">
        <f>+(B139+R139)/2</f>
        <v>0.74565759446576141</v>
      </c>
      <c r="H139" s="49"/>
      <c r="I139" s="50"/>
      <c r="K139" s="4">
        <f>+R131/K138</f>
        <v>0.53142531187193065</v>
      </c>
      <c r="Q139" s="49" t="s">
        <v>14</v>
      </c>
      <c r="R139" s="49">
        <f>+R131/R138</f>
        <v>1.0453498705014923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48.365000000000002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+C17*12*0.866-C42/2+C11</f>
        <v>16.675999999999998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0.34479478962059334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5*1.6*C13-1.6*0.15*C21*C22*C20/12*((C21/2-C42/2/12)/C21)</f>
        <v>1859.5259133333334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1.6*C13*(2*B144)+1.6*C13*(3*(B144+0.866*C17*12))-1.6*0.15*C21*C22*C20/12*((C21/2-C42/2/12)/C21)*(C21/2-C42/2/12)*12/2</f>
        <v>65941.502222413328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1.3638750675564333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539.25317309887487</v>
      </c>
      <c r="P148" s="4" t="s">
        <v>5</v>
      </c>
    </row>
    <row r="149" spans="1:16" ht="18" x14ac:dyDescent="0.35">
      <c r="A149" s="68" t="s">
        <v>447</v>
      </c>
      <c r="B149" s="58">
        <f>1/B148</f>
        <v>0.73320498613676932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9.8453709037497248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2527.2469345702343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0.7357911440694066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47.23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+C17*12*0.5-C42/2+C11</f>
        <v>3.5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7.4105441456701254E-2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5*1.6*C13-1.6*0.15*C21*C22*C20/12*((C22/2-C42/2/12)/C22)</f>
        <v>1866.9557133333333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1.6*C13*(2*B157)+1.6*C13*(3*(B157+0.5*C17*12))-1.6*0.15*C21*C22*C20/12*((C22/2-C42/2/12)/C22)*(C22/2-C42/2/12)*12/2</f>
        <v>26408.375338333331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3.3389527833899022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0.29949510067187618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3665.5868963020812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0.50931972591258345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48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23.624975308641975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24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60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9047.52</v>
      </c>
      <c r="U171" s="4" t="s">
        <v>35</v>
      </c>
    </row>
    <row r="172" spans="1:32" ht="18.75" x14ac:dyDescent="0.35">
      <c r="A172" s="45"/>
      <c r="B172" s="53">
        <f>+C65</f>
        <v>29</v>
      </c>
      <c r="C172" s="48" t="s">
        <v>71</v>
      </c>
      <c r="D172" s="83" t="str">
        <f>"#"&amp;+C23</f>
        <v>#8</v>
      </c>
      <c r="E172" s="49" t="s">
        <v>72</v>
      </c>
      <c r="F172" s="49" t="s">
        <v>73</v>
      </c>
      <c r="G172" s="57">
        <f>+C22-0.5</f>
        <v>9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39.925208786496192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1.0471666666666668</v>
      </c>
      <c r="H173" s="48" t="s">
        <v>74</v>
      </c>
      <c r="I173" s="50"/>
      <c r="Q173" s="4" t="s">
        <v>7</v>
      </c>
      <c r="R173" s="4">
        <f>+R172*T171/1000</f>
        <v>1982.2123173916564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697.51117187499995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1684.8804697829078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361.22412500000002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26</v>
      </c>
      <c r="C176" s="48" t="s">
        <v>71</v>
      </c>
      <c r="D176" s="83" t="str">
        <f>"#"&amp;+C24</f>
        <v>#10</v>
      </c>
      <c r="E176" s="49" t="s">
        <v>72</v>
      </c>
      <c r="F176" s="49" t="s">
        <v>73</v>
      </c>
      <c r="G176" s="57">
        <f>+C21-0.5</f>
        <v>13.391999999999999</v>
      </c>
      <c r="H176" s="48" t="s">
        <v>74</v>
      </c>
      <c r="I176" s="50"/>
      <c r="Q176" s="4" t="s">
        <v>14</v>
      </c>
      <c r="R176" s="4">
        <f>+R175/R174</f>
        <v>0.21439154377909239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1.5565437500000003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1500.84862329675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48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2198.3597951717502</v>
      </c>
      <c r="D180" s="48" t="s">
        <v>78</v>
      </c>
      <c r="E180" s="49" t="s">
        <v>79</v>
      </c>
      <c r="F180" s="88">
        <f>+C180/2000</f>
        <v>1.0991798975858751</v>
      </c>
      <c r="G180" s="48" t="s">
        <v>19</v>
      </c>
      <c r="H180" s="49"/>
      <c r="I180" s="50"/>
      <c r="Q180" s="4" t="s">
        <v>54</v>
      </c>
      <c r="T180" s="4">
        <f>+T179/2</f>
        <v>24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188.49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12503.52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58.209538194044555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2739.3839808867979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2328.476383753778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727.82412499999998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0.31257526598859542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48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24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89.122500000000002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4277.88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85.229957654258655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937.23654972008012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796.65106726206807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364.60353125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0.45767029786713287</v>
      </c>
      <c r="T199" s="4" t="s">
        <v>146</v>
      </c>
      <c r="V199" s="4">
        <f>+(C18*C18+C18*T170+3.1415*T170^2/4/4)/144</f>
        <v>16.721093750000001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48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97.3964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4675.0272000000004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78.052272750528175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512.12357087804321</v>
      </c>
      <c r="S207" s="4" t="s">
        <v>8</v>
      </c>
      <c r="T207" s="4" t="s">
        <v>93</v>
      </c>
    </row>
    <row r="208" spans="1:58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435.30503524633673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364.89649813053808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0.83825471470607993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8.85546875" style="4" hidden="1" customWidth="1"/>
    <col min="11" max="11" width="12.85546875" style="4" hidden="1" customWidth="1"/>
    <col min="12" max="12" width="15.5703125" style="4" hidden="1" customWidth="1"/>
    <col min="13" max="13" width="8.85546875" style="4" hidden="1" customWidth="1"/>
    <col min="14" max="14" width="14.140625" style="4" hidden="1" customWidth="1"/>
    <col min="15" max="15" width="12.85546875" style="4" hidden="1" customWidth="1"/>
    <col min="16" max="27" width="8.85546875" style="4" hidden="1" customWidth="1"/>
    <col min="28" max="28" width="27.85546875" style="4" hidden="1" customWidth="1"/>
    <col min="29" max="38" width="8.85546875" style="4" hidden="1" customWidth="1"/>
    <col min="39" max="52" width="8.85546875" style="4" customWidth="1"/>
    <col min="53" max="16384" width="9.140625" style="4"/>
  </cols>
  <sheetData>
    <row r="1" spans="1:17" ht="15.6" x14ac:dyDescent="0.35">
      <c r="A1" s="15" t="s">
        <v>254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140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280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12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27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38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16.590060000000001</v>
      </c>
    </row>
    <row r="20" spans="1:17" ht="18" x14ac:dyDescent="0.35">
      <c r="A20" s="45"/>
      <c r="B20" s="46" t="s">
        <v>425</v>
      </c>
      <c r="C20" s="56">
        <v>70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18.678525000000004</v>
      </c>
    </row>
    <row r="21" spans="1:17" x14ac:dyDescent="0.25">
      <c r="A21" s="45"/>
      <c r="B21" s="46" t="s">
        <v>426</v>
      </c>
      <c r="C21" s="53">
        <f>2*C18/12+C17*3</f>
        <v>13.5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1.1279999999999999</v>
      </c>
      <c r="M21" s="4" t="s">
        <v>20</v>
      </c>
      <c r="N21" s="4" t="s">
        <v>37</v>
      </c>
      <c r="P21" s="4">
        <f>+IF(C24&lt;9,(C24/8),IF(C24=9,1.128,IF(C24=10,1.27,IF(C24=11,1.41,IF(C24=14,1.693,0)))))</f>
        <v>1.27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2*C18/12+C17+2*0.866*C17</f>
        <v>12.696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0.99929858399999982</v>
      </c>
      <c r="M22" s="4" t="s">
        <v>35</v>
      </c>
      <c r="N22" s="4" t="s">
        <v>38</v>
      </c>
      <c r="P22" s="4">
        <f>3.1415*P21^2/4</f>
        <v>1.2667313375</v>
      </c>
      <c r="Q22" s="4" t="s">
        <v>35</v>
      </c>
    </row>
    <row r="23" spans="1:17" x14ac:dyDescent="0.25">
      <c r="A23" s="45"/>
      <c r="B23" s="46" t="s">
        <v>428</v>
      </c>
      <c r="C23" s="47">
        <v>9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10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59.165999999999997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60.365000000000002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60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13.540749682261449</v>
      </c>
    </row>
    <row r="28" spans="1:17" x14ac:dyDescent="0.25">
      <c r="A28" s="114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12</v>
      </c>
    </row>
    <row r="30" spans="1:17" x14ac:dyDescent="0.25">
      <c r="A30" s="45" t="s">
        <v>237</v>
      </c>
      <c r="B30" s="49"/>
      <c r="C30" s="49"/>
      <c r="D30" s="49"/>
      <c r="E30" s="49"/>
      <c r="F30" s="62" t="str">
        <f>+IF(C62&gt;C63,"NG; select smaller bar size","OK")</f>
        <v>OK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E31" s="49"/>
      <c r="F31" s="62" t="str">
        <f>+IF(C80&gt;C81,"NG; select smaller bar size","OK")</f>
        <v>OK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60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30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72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applicable",IF(B139&lt;1,"OK","NG"))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13571.28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">
        <v>229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30.094221031472344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2973.3184760874847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2527.3207046743619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408.4171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1.6*14*C13-1.6*C21*C22*C20/12*0.15</f>
        <v>6032.0456000000013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0.16160082068121362</v>
      </c>
    </row>
    <row r="41" spans="1:25" x14ac:dyDescent="0.25">
      <c r="A41" s="45"/>
      <c r="B41" s="46" t="s">
        <v>433</v>
      </c>
      <c r="C41" s="58">
        <f>+(C40/4)^0.5</f>
        <v>38.833122460085541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39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1.6*C13*(4*(0.5*C17*12+C11-C42/4))+1.6*C13*(3*(0.5*C17*12+0.866*C17*12+C11-C42/4))-1.6*(C22/2-C42/12/4)*C21*C20/12*0.15*(C22/2-C42/12/4)*12/2</f>
        <v>73705.768387649994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5459.6865472333329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59.165999999999997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1.7674079537831737</v>
      </c>
      <c r="D48" s="48" t="s">
        <v>435</v>
      </c>
      <c r="E48" s="49"/>
      <c r="F48" s="49"/>
      <c r="G48" s="49"/>
      <c r="H48" s="49"/>
      <c r="I48" s="50"/>
    </row>
    <row r="49" spans="1:18" ht="18" x14ac:dyDescent="0.35">
      <c r="A49" s="45"/>
      <c r="B49" s="46" t="s">
        <v>39</v>
      </c>
      <c r="C49" s="58">
        <f>+C48*C21</f>
        <v>23.860007376072843</v>
      </c>
      <c r="D49" s="48" t="s">
        <v>436</v>
      </c>
      <c r="E49" s="49"/>
      <c r="F49" s="49"/>
      <c r="G49" s="49"/>
      <c r="H49" s="49"/>
      <c r="I49" s="50"/>
    </row>
    <row r="50" spans="1:18" ht="18" x14ac:dyDescent="0.35">
      <c r="A50" s="45"/>
      <c r="B50" s="46" t="s">
        <v>43</v>
      </c>
      <c r="C50" s="58">
        <f>+C49*4/3</f>
        <v>31.813343168097123</v>
      </c>
      <c r="D50" s="48" t="s">
        <v>436</v>
      </c>
      <c r="E50" s="49"/>
      <c r="F50" s="49"/>
      <c r="G50" s="49"/>
      <c r="H50" s="49"/>
      <c r="I50" s="50"/>
    </row>
    <row r="51" spans="1:18" ht="18.75" x14ac:dyDescent="0.35">
      <c r="A51" s="45"/>
      <c r="B51" s="46" t="s">
        <v>437</v>
      </c>
      <c r="C51" s="58">
        <f>3*(C9*1000)^0.5*C21*12*C47/C10/1000</f>
        <v>26.249307798254033</v>
      </c>
      <c r="D51" s="48" t="s">
        <v>436</v>
      </c>
      <c r="E51" s="49"/>
      <c r="F51" s="49"/>
      <c r="G51" s="49"/>
      <c r="H51" s="49"/>
      <c r="I51" s="50"/>
    </row>
    <row r="52" spans="1:18" ht="18" x14ac:dyDescent="0.35">
      <c r="A52" s="45"/>
      <c r="B52" s="46" t="s">
        <v>438</v>
      </c>
      <c r="C52" s="58">
        <f>200*C21*12*C47/C10/1000</f>
        <v>31.949639999999999</v>
      </c>
      <c r="D52" s="48" t="s">
        <v>436</v>
      </c>
      <c r="E52" s="49"/>
      <c r="F52" s="49"/>
      <c r="G52" s="49"/>
      <c r="H52" s="49"/>
      <c r="I52" s="50"/>
    </row>
    <row r="53" spans="1:18" ht="18" x14ac:dyDescent="0.35">
      <c r="A53" s="45"/>
      <c r="B53" s="46" t="s">
        <v>44</v>
      </c>
      <c r="C53" s="58">
        <f>+MAX(C51:C52)</f>
        <v>31.949639999999999</v>
      </c>
      <c r="D53" s="48" t="s">
        <v>436</v>
      </c>
      <c r="E53" s="49"/>
      <c r="F53" s="49"/>
      <c r="G53" s="49"/>
      <c r="H53" s="49"/>
      <c r="I53" s="50"/>
    </row>
    <row r="54" spans="1:18" ht="18" x14ac:dyDescent="0.35">
      <c r="A54" s="45"/>
      <c r="B54" s="46" t="s">
        <v>439</v>
      </c>
      <c r="C54" s="58">
        <f>+IF(C10=60,0.0018*C21*12*C20,0.002*C21*12*C20)</f>
        <v>20.411999999999999</v>
      </c>
      <c r="D54" s="48" t="s">
        <v>436</v>
      </c>
      <c r="E54" s="49"/>
      <c r="F54" s="49"/>
      <c r="G54" s="49"/>
      <c r="H54" s="49"/>
      <c r="I54" s="50"/>
    </row>
    <row r="55" spans="1:18" ht="18" x14ac:dyDescent="0.35">
      <c r="A55" s="45"/>
      <c r="B55" s="46" t="s">
        <v>41</v>
      </c>
      <c r="C55" s="74">
        <f>+IF(C49&gt;C53,C49,IF(C50&gt;C53,C53,IF(C50&gt;C54,C50,C54)))</f>
        <v>31.813343168097123</v>
      </c>
      <c r="D55" s="48" t="s">
        <v>436</v>
      </c>
      <c r="E55" s="49"/>
      <c r="F55" s="49"/>
      <c r="G55" s="49"/>
      <c r="H55" s="49"/>
      <c r="I55" s="50"/>
    </row>
    <row r="56" spans="1:18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8" x14ac:dyDescent="0.25">
      <c r="A57" s="109"/>
      <c r="B57" s="76" t="s">
        <v>45</v>
      </c>
      <c r="C57" s="57">
        <f>+C21/C22</f>
        <v>1.0633270321361059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  <c r="P57" s="111"/>
      <c r="Q57" s="111"/>
      <c r="R57" s="111"/>
    </row>
    <row r="58" spans="1:18" ht="18" x14ac:dyDescent="0.35">
      <c r="A58" s="109"/>
      <c r="B58" s="76" t="s">
        <v>47</v>
      </c>
      <c r="C58" s="55">
        <f>2/(C57+1)</f>
        <v>0.96930829134218965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5.1624000000000008</v>
      </c>
      <c r="N58" s="111" t="s">
        <v>0</v>
      </c>
      <c r="O58" s="111"/>
      <c r="P58" s="111"/>
      <c r="Q58" s="111"/>
      <c r="R58" s="111"/>
    </row>
    <row r="59" spans="1:18" ht="18" x14ac:dyDescent="0.35">
      <c r="A59" s="45"/>
      <c r="B59" s="46" t="s">
        <v>46</v>
      </c>
      <c r="C59" s="58">
        <f>+C49*C57*C58</f>
        <v>24.592311771032477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3.5640000000000001</v>
      </c>
      <c r="N59" s="111" t="s">
        <v>0</v>
      </c>
      <c r="O59" s="111"/>
      <c r="P59" s="111"/>
      <c r="Q59" s="111"/>
      <c r="R59" s="111"/>
    </row>
    <row r="60" spans="1:18" ht="18" x14ac:dyDescent="0.35">
      <c r="A60" s="45"/>
      <c r="B60" s="46" t="s">
        <v>41</v>
      </c>
      <c r="C60" s="58">
        <f>+MAX(C59,C55)</f>
        <v>31.813343168097123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2.5812000000000004</v>
      </c>
      <c r="N60" s="111" t="s">
        <v>0</v>
      </c>
      <c r="O60" s="111"/>
      <c r="P60" s="111"/>
      <c r="Q60" s="111"/>
      <c r="R60" s="111"/>
    </row>
    <row r="61" spans="1:18" ht="18" x14ac:dyDescent="0.35">
      <c r="A61" s="45"/>
      <c r="B61" s="46" t="s">
        <v>210</v>
      </c>
      <c r="C61" s="77">
        <f>+M60</f>
        <v>2.5812000000000004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  <c r="P61" s="111"/>
      <c r="Q61" s="111"/>
      <c r="R61" s="111"/>
    </row>
    <row r="62" spans="1:18" ht="18" x14ac:dyDescent="0.35">
      <c r="A62" s="45"/>
      <c r="B62" s="46" t="s">
        <v>211</v>
      </c>
      <c r="C62" s="58">
        <f>+M66</f>
        <v>40.499385088833861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  <c r="P62" s="111"/>
      <c r="Q62" s="111"/>
      <c r="R62" s="111"/>
    </row>
    <row r="63" spans="1:18" ht="18" x14ac:dyDescent="0.35">
      <c r="A63" s="45"/>
      <c r="B63" s="46" t="s">
        <v>214</v>
      </c>
      <c r="C63" s="58">
        <f>+M67</f>
        <v>53.676000000000002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  <c r="P63" s="111"/>
      <c r="Q63" s="111"/>
      <c r="R63" s="111"/>
    </row>
    <row r="64" spans="1:18" x14ac:dyDescent="0.25">
      <c r="A64" s="45"/>
      <c r="B64" s="46" t="s">
        <v>441</v>
      </c>
      <c r="C64" s="78">
        <f>+C60/L22</f>
        <v>31.835673218663469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  <c r="P64" s="111"/>
      <c r="Q64" s="111"/>
      <c r="R64" s="111"/>
    </row>
    <row r="65" spans="1:18" x14ac:dyDescent="0.25">
      <c r="A65" s="45"/>
      <c r="B65" s="46" t="s">
        <v>442</v>
      </c>
      <c r="C65" s="56">
        <v>31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2.2882978723404261</v>
      </c>
      <c r="N65" s="111"/>
      <c r="O65" s="111"/>
      <c r="P65" s="111"/>
      <c r="Q65" s="111"/>
      <c r="R65" s="111"/>
    </row>
    <row r="66" spans="1:18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40.499385088833861</v>
      </c>
      <c r="N66" s="111" t="s">
        <v>0</v>
      </c>
      <c r="O66" s="111"/>
      <c r="P66" s="111"/>
      <c r="Q66" s="111"/>
      <c r="R66" s="111"/>
    </row>
    <row r="67" spans="1:18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53.676000000000002</v>
      </c>
      <c r="N67" s="111" t="s">
        <v>0</v>
      </c>
      <c r="O67" s="111" t="str">
        <f>+IF(M67&gt;M66,"OK; required development length available","NG")</f>
        <v>OK; required development length available</v>
      </c>
      <c r="P67" s="111"/>
      <c r="Q67" s="111"/>
      <c r="R67" s="111"/>
    </row>
    <row r="68" spans="1:18" ht="18" x14ac:dyDescent="0.35">
      <c r="A68" s="45"/>
      <c r="B68" s="46" t="s">
        <v>26</v>
      </c>
      <c r="C68" s="69">
        <f>1.6*C13*(2*(0.5*C17*12+C11-C42/4))+1.6*C13*(2*(1*C17*12 +C11-C42/4))+1.6*C13*(2*(1.5*C17*12+C11-C42/4))-1.6*(C21/2-C42/12/4)*C22*C20/12*0.15*(C21/2-C42/12/4)*12/2</f>
        <v>74864.297812499994</v>
      </c>
      <c r="D68" s="48" t="s">
        <v>27</v>
      </c>
      <c r="E68" s="49" t="s">
        <v>118</v>
      </c>
      <c r="F68" s="49"/>
      <c r="G68" s="49"/>
      <c r="H68" s="49"/>
      <c r="I68" s="50"/>
      <c r="K68" s="111"/>
      <c r="L68" s="111"/>
      <c r="M68" s="111"/>
      <c r="N68" s="111"/>
      <c r="O68" s="111"/>
      <c r="P68" s="111"/>
      <c r="Q68" s="111"/>
      <c r="R68" s="111"/>
    </row>
    <row r="69" spans="1:18" ht="18" x14ac:dyDescent="0.35">
      <c r="A69" s="45"/>
      <c r="B69" s="46" t="s">
        <v>26</v>
      </c>
      <c r="C69" s="79">
        <f>+C68/C22</f>
        <v>5896.6838226606806</v>
      </c>
      <c r="D69" s="48" t="s">
        <v>28</v>
      </c>
      <c r="E69" s="49" t="s">
        <v>29</v>
      </c>
      <c r="F69" s="49"/>
      <c r="G69" s="49"/>
      <c r="H69" s="49"/>
      <c r="I69" s="50"/>
      <c r="K69" s="111"/>
      <c r="L69" s="111"/>
      <c r="M69" s="111"/>
      <c r="N69" s="111"/>
      <c r="O69" s="111"/>
      <c r="P69" s="111"/>
      <c r="Q69" s="111"/>
      <c r="R69" s="111"/>
    </row>
    <row r="70" spans="1:18" x14ac:dyDescent="0.25">
      <c r="A70" s="45"/>
      <c r="B70" s="46" t="s">
        <v>1</v>
      </c>
      <c r="C70" s="55">
        <f>+C20-C14-C15-P21/2</f>
        <v>60.365000000000002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  <c r="P70" s="111"/>
      <c r="Q70" s="111"/>
      <c r="R70" s="111"/>
    </row>
    <row r="71" spans="1:18" ht="18" x14ac:dyDescent="0.35">
      <c r="A71" s="45"/>
      <c r="B71" s="46" t="s">
        <v>40</v>
      </c>
      <c r="C71" s="58">
        <f>IF(C9=3,0.51*C70-(0.26*C70^2-0.0189*C69)^0.5,0.68*C70-(0.462*C70^2-0.0252*C69)^0.5)</f>
        <v>1.8729123007779869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6.3079130434782602</v>
      </c>
      <c r="N71" s="111" t="s">
        <v>0</v>
      </c>
      <c r="O71" s="111"/>
      <c r="P71" s="111"/>
      <c r="Q71" s="111"/>
      <c r="R71" s="111"/>
    </row>
    <row r="72" spans="1:18" ht="18" x14ac:dyDescent="0.35">
      <c r="A72" s="45"/>
      <c r="B72" s="46" t="s">
        <v>39</v>
      </c>
      <c r="C72" s="58">
        <f>+C71*C22</f>
        <v>23.778494570677321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3.6349999999999998</v>
      </c>
      <c r="N72" s="111" t="s">
        <v>0</v>
      </c>
      <c r="O72" s="111"/>
      <c r="P72" s="111"/>
      <c r="Q72" s="111"/>
      <c r="R72" s="111"/>
    </row>
    <row r="73" spans="1:18" ht="18" x14ac:dyDescent="0.35">
      <c r="A73" s="45"/>
      <c r="B73" s="46" t="s">
        <v>43</v>
      </c>
      <c r="C73" s="58">
        <f>+C72*4/3</f>
        <v>31.704659427569762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3.1539565217391301</v>
      </c>
      <c r="N73" s="111" t="s">
        <v>0</v>
      </c>
      <c r="O73" s="111"/>
      <c r="P73" s="111"/>
      <c r="Q73" s="111"/>
      <c r="R73" s="111"/>
    </row>
    <row r="74" spans="1:18" ht="18.75" x14ac:dyDescent="0.35">
      <c r="A74" s="45"/>
      <c r="B74" s="46" t="s">
        <v>437</v>
      </c>
      <c r="C74" s="58">
        <f>3*(C9*1000)^0.5*C22*12*C70/C10/1000</f>
        <v>25.186278218730997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  <c r="P74" s="111"/>
      <c r="Q74" s="111"/>
      <c r="R74" s="111"/>
    </row>
    <row r="75" spans="1:18" ht="18" x14ac:dyDescent="0.35">
      <c r="A75" s="45"/>
      <c r="B75" s="46" t="s">
        <v>438</v>
      </c>
      <c r="C75" s="58">
        <f>200*C22*12*C70/C10/1000</f>
        <v>30.655761600000002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  <c r="P75" s="111"/>
      <c r="Q75" s="111"/>
      <c r="R75" s="111"/>
    </row>
    <row r="76" spans="1:18" ht="18" x14ac:dyDescent="0.35">
      <c r="A76" s="45"/>
      <c r="B76" s="46" t="s">
        <v>44</v>
      </c>
      <c r="C76" s="58">
        <f>+MAX(C74:C75)</f>
        <v>30.655761600000002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  <c r="P76" s="111"/>
      <c r="Q76" s="111"/>
      <c r="R76" s="111"/>
    </row>
    <row r="77" spans="1:18" ht="18" x14ac:dyDescent="0.35">
      <c r="A77" s="45"/>
      <c r="B77" s="46" t="s">
        <v>439</v>
      </c>
      <c r="C77" s="58">
        <f>+IF(C10=60,0.0018*C22*12*C20,0.002*C22*12*C20)</f>
        <v>19.196351999999997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  <c r="P77" s="111"/>
      <c r="Q77" s="111"/>
      <c r="R77" s="111"/>
    </row>
    <row r="78" spans="1:18" ht="18" x14ac:dyDescent="0.35">
      <c r="A78" s="45"/>
      <c r="B78" s="46" t="s">
        <v>41</v>
      </c>
      <c r="C78" s="58">
        <f>+IF(C72&gt;C76,C72,IF(C73&gt;C76,C76,IF(C73&gt;C77,C73,C77)))</f>
        <v>30.655761600000002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2.4834303320780551</v>
      </c>
      <c r="N78" s="111"/>
      <c r="O78" s="111"/>
      <c r="P78" s="111"/>
      <c r="Q78" s="111"/>
      <c r="R78" s="111"/>
    </row>
    <row r="79" spans="1:18" ht="18" x14ac:dyDescent="0.35">
      <c r="A79" s="45"/>
      <c r="B79" s="112" t="s">
        <v>210</v>
      </c>
      <c r="C79" s="58">
        <f>+M73</f>
        <v>3.1539565217391301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42.014928245409969</v>
      </c>
      <c r="N79" s="111" t="s">
        <v>0</v>
      </c>
      <c r="O79" s="111"/>
      <c r="P79" s="111"/>
      <c r="Q79" s="111"/>
      <c r="R79" s="111"/>
    </row>
    <row r="80" spans="1:18" ht="18" x14ac:dyDescent="0.35">
      <c r="A80" s="45"/>
      <c r="B80" s="112" t="s">
        <v>211</v>
      </c>
      <c r="C80" s="58">
        <f>+M79</f>
        <v>42.014928245409969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58.5</v>
      </c>
      <c r="N80" s="111" t="s">
        <v>0</v>
      </c>
      <c r="O80" s="111" t="str">
        <f>+IF(M80&gt;M79,"OK; required development length available","NG")</f>
        <v>OK; required development length available</v>
      </c>
      <c r="P80" s="111"/>
      <c r="Q80" s="111"/>
      <c r="R80" s="111"/>
    </row>
    <row r="81" spans="1:17" ht="18" x14ac:dyDescent="0.35">
      <c r="A81" s="45"/>
      <c r="B81" s="112" t="s">
        <v>214</v>
      </c>
      <c r="C81" s="58">
        <f>+M80</f>
        <v>58.5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24.200681464549305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24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60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49.5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30</v>
      </c>
      <c r="C87" s="48" t="s">
        <v>0</v>
      </c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+C17/2*12+C11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+IF(M86&gt;O91,0,IF(M86&gt;O89,4,IF(M86&gt;O87,10,14)))</f>
        <v>10</v>
      </c>
      <c r="G88" s="49"/>
      <c r="H88" s="49"/>
      <c r="I88" s="50"/>
      <c r="J88" s="4" t="s">
        <v>57</v>
      </c>
      <c r="K88" s="64"/>
      <c r="L88" s="64"/>
      <c r="M88" s="64"/>
      <c r="N88" s="64"/>
      <c r="O88" s="64">
        <f>+C17/2*12+C11</f>
        <v>21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222</v>
      </c>
      <c r="K89" s="64"/>
      <c r="L89" s="64"/>
      <c r="M89" s="64"/>
      <c r="N89" s="64"/>
      <c r="O89" s="64">
        <f>0.5*C17*12+0.866*C17*12+C11</f>
        <v>52.176000000000002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396</v>
      </c>
      <c r="C90" s="48" t="s">
        <v>0</v>
      </c>
      <c r="D90" s="49"/>
      <c r="E90" s="49"/>
      <c r="F90" s="49"/>
      <c r="G90" s="49"/>
      <c r="H90" s="49"/>
      <c r="I90" s="50"/>
      <c r="J90" s="4" t="s">
        <v>255</v>
      </c>
      <c r="K90" s="64"/>
      <c r="L90" s="64"/>
      <c r="M90" s="64"/>
      <c r="N90" s="64"/>
      <c r="O90" s="64">
        <f>1*C17*12+C11</f>
        <v>39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5205.555186529099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256</v>
      </c>
      <c r="K91" s="64"/>
      <c r="L91" s="64"/>
      <c r="M91" s="64"/>
      <c r="N91" s="64"/>
      <c r="O91" s="64">
        <f>1.5*C17*12+C11</f>
        <v>57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4424.7219085497345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4335.3331000000007</v>
      </c>
      <c r="C93" s="48" t="s">
        <v>18</v>
      </c>
      <c r="D93" s="49" t="s">
        <v>132</v>
      </c>
      <c r="E93" s="49"/>
      <c r="F93" s="49"/>
      <c r="G93" s="49"/>
      <c r="H93" s="49"/>
      <c r="I93" s="50"/>
      <c r="L93" s="4" t="s">
        <v>83</v>
      </c>
      <c r="O93" s="4">
        <f>+B89</f>
        <v>219.08902300206645</v>
      </c>
      <c r="P93" s="4" t="s">
        <v>5</v>
      </c>
    </row>
    <row r="94" spans="1:17" ht="18" x14ac:dyDescent="0.35">
      <c r="A94" s="68" t="s">
        <v>14</v>
      </c>
      <c r="B94" s="74">
        <f>+B93/B92</f>
        <v>0.97979786969729987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60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79.5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+IF(M98&gt;O101,0,IF(M98&gt;O100,2,IF(M98&gt;O99,4,6)))</f>
        <v>0</v>
      </c>
      <c r="G99" s="49"/>
      <c r="H99" s="49"/>
      <c r="I99" s="50"/>
      <c r="J99" s="4" t="s">
        <v>224</v>
      </c>
      <c r="K99" s="64"/>
      <c r="L99" s="64"/>
      <c r="M99" s="64"/>
      <c r="N99" s="64"/>
      <c r="O99" s="64">
        <f>0.5*C17*12+C11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245</v>
      </c>
      <c r="K100" s="64"/>
      <c r="L100" s="64"/>
      <c r="M100" s="64"/>
      <c r="N100" s="64"/>
      <c r="O100" s="64">
        <f>1*C17*12+C11</f>
        <v>39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9141.1200000000008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246</v>
      </c>
      <c r="K101" s="64"/>
      <c r="L101" s="64"/>
      <c r="M101" s="64"/>
      <c r="N101" s="64"/>
      <c r="O101" s="64">
        <f>1.5*C17*12+C11</f>
        <v>57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1001.3595249723249</v>
      </c>
      <c r="C102" s="48" t="s">
        <v>18</v>
      </c>
      <c r="D102" s="49" t="s">
        <v>63</v>
      </c>
      <c r="E102" s="49"/>
      <c r="F102" s="49"/>
      <c r="G102" s="49"/>
      <c r="H102" s="49"/>
      <c r="I102" s="50"/>
      <c r="L102" s="4" t="s">
        <v>83</v>
      </c>
      <c r="O102" s="4">
        <f>+B100</f>
        <v>109.54451150103323</v>
      </c>
      <c r="P102" s="4" t="s">
        <v>5</v>
      </c>
    </row>
    <row r="103" spans="1:17" ht="18" x14ac:dyDescent="0.35">
      <c r="A103" s="68" t="s">
        <v>12</v>
      </c>
      <c r="B103" s="79">
        <f>+B102*0.85</f>
        <v>851.15559622647618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-2.2217999999999996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-2.610333539308389E-3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60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79.5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+IF(M109&gt;O111,0,IF(M109&gt;O110,3,7))</f>
        <v>0</v>
      </c>
      <c r="G110" s="49"/>
      <c r="H110" s="49"/>
      <c r="I110" s="50"/>
      <c r="J110" s="4" t="s">
        <v>225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81</v>
      </c>
      <c r="K111" s="64"/>
      <c r="L111" s="64"/>
      <c r="M111" s="64"/>
      <c r="N111" s="64"/>
      <c r="O111" s="64">
        <f>(0.5+0.866)*C17*12+C11</f>
        <v>52.176000000000009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+C21*12*B109</f>
        <v>9720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9" ht="18.75" x14ac:dyDescent="0.35">
      <c r="A113" s="68" t="s">
        <v>7</v>
      </c>
      <c r="B113" s="79">
        <f>+B111*B112/1000</f>
        <v>1064.7726517900428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9" ht="18" x14ac:dyDescent="0.35">
      <c r="A114" s="68" t="s">
        <v>12</v>
      </c>
      <c r="B114" s="79">
        <f>+B113*0.85</f>
        <v>905.05675402153634</v>
      </c>
      <c r="C114" s="48" t="s">
        <v>18</v>
      </c>
      <c r="D114" s="49"/>
      <c r="E114" s="49"/>
      <c r="F114" s="49"/>
      <c r="G114" s="49"/>
      <c r="H114" s="49"/>
      <c r="I114" s="50"/>
    </row>
    <row r="115" spans="1:9" ht="18" x14ac:dyDescent="0.35">
      <c r="A115" s="68" t="s">
        <v>58</v>
      </c>
      <c r="B115" s="79">
        <f>+E110*C13*1.6-1.6*0.15*C21*C22*C20/12*((C22/2-M109/12)/C22)</f>
        <v>5.2353000000000014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9" ht="18" x14ac:dyDescent="0.35">
      <c r="A116" s="68" t="s">
        <v>14</v>
      </c>
      <c r="B116" s="74">
        <f>+B115/B114</f>
        <v>5.7844991231073943E-3</v>
      </c>
      <c r="C116" s="48"/>
      <c r="D116" s="49"/>
      <c r="E116" s="49"/>
      <c r="F116" s="49"/>
      <c r="G116" s="49"/>
      <c r="H116" s="49"/>
      <c r="I116" s="50"/>
    </row>
    <row r="117" spans="1:9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9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9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9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9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9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9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9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9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9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9" x14ac:dyDescent="0.25">
      <c r="A127" s="68" t="s">
        <v>1</v>
      </c>
      <c r="B127" s="53">
        <f>+B86</f>
        <v>60</v>
      </c>
      <c r="C127" s="48" t="s">
        <v>0</v>
      </c>
      <c r="F127" s="49"/>
      <c r="G127" s="49"/>
      <c r="H127" s="49"/>
      <c r="I127" s="50"/>
    </row>
    <row r="128" spans="1:9" x14ac:dyDescent="0.25">
      <c r="A128" s="68" t="s">
        <v>54</v>
      </c>
      <c r="B128" s="54">
        <f>+B127/2</f>
        <v>30</v>
      </c>
      <c r="C128" s="48" t="s">
        <v>0</v>
      </c>
      <c r="F128" s="49"/>
      <c r="G128" s="49"/>
      <c r="H128" s="49"/>
      <c r="I128" s="50"/>
    </row>
    <row r="129" spans="1:16" x14ac:dyDescent="0.25">
      <c r="A129" s="115"/>
      <c r="B129" s="49"/>
      <c r="C129" s="48"/>
      <c r="D129" s="46" t="s">
        <v>453</v>
      </c>
      <c r="E129" s="83">
        <v>14</v>
      </c>
      <c r="G129" s="49"/>
      <c r="H129" s="49"/>
      <c r="I129" s="50"/>
    </row>
    <row r="130" spans="1:16" ht="18" x14ac:dyDescent="0.35">
      <c r="A130" s="68" t="s">
        <v>454</v>
      </c>
      <c r="B130" s="57">
        <f>+C17*12/2-C42/2+C11</f>
        <v>1.5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</row>
    <row r="131" spans="1:16" ht="18" x14ac:dyDescent="0.35">
      <c r="A131" s="68" t="s">
        <v>58</v>
      </c>
      <c r="B131" s="79">
        <f>+C13*E129*1.6-1.6*0.15*C21*C22*C20/12+1.6*0.15*(C42)/12*(C42)/12*C20/12</f>
        <v>6046.8331000000007</v>
      </c>
      <c r="C131" s="48" t="s">
        <v>18</v>
      </c>
      <c r="D131" s="49"/>
      <c r="E131" s="49"/>
      <c r="F131" s="49"/>
      <c r="G131" s="49"/>
      <c r="H131" s="49"/>
      <c r="I131" s="50"/>
    </row>
    <row r="132" spans="1:16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</row>
    <row r="133" spans="1:16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</row>
    <row r="134" spans="1:16" ht="18" x14ac:dyDescent="0.35">
      <c r="A134" s="68" t="s">
        <v>11</v>
      </c>
      <c r="B134" s="58">
        <f>4*(B127+C42)</f>
        <v>396</v>
      </c>
      <c r="C134" s="48" t="s">
        <v>0</v>
      </c>
      <c r="D134" s="49"/>
      <c r="E134" s="49"/>
      <c r="F134" s="49"/>
      <c r="G134" s="49"/>
      <c r="H134" s="49"/>
      <c r="I134" s="50"/>
    </row>
    <row r="135" spans="1:16" ht="18" x14ac:dyDescent="0.35">
      <c r="A135" s="68" t="s">
        <v>2</v>
      </c>
      <c r="B135" s="58">
        <f>4*C42</f>
        <v>156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</row>
    <row r="136" spans="1:16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</row>
    <row r="137" spans="1:16" ht="18.75" x14ac:dyDescent="0.35">
      <c r="A137" s="68" t="s">
        <v>7</v>
      </c>
      <c r="B137" s="79">
        <f>+B136*(C9*1000)^0.5*B135*B127/1000</f>
        <v>16405.386042394734</v>
      </c>
      <c r="C137" s="48" t="s">
        <v>18</v>
      </c>
      <c r="D137" s="49" t="s">
        <v>10</v>
      </c>
      <c r="E137" s="49"/>
      <c r="F137" s="49"/>
      <c r="G137" s="49"/>
      <c r="H137" s="49"/>
      <c r="I137" s="50"/>
    </row>
    <row r="138" spans="1:16" ht="18" x14ac:dyDescent="0.35">
      <c r="A138" s="68" t="s">
        <v>12</v>
      </c>
      <c r="B138" s="79">
        <f>+B137*0.85</f>
        <v>13944.578136035523</v>
      </c>
      <c r="C138" s="48" t="s">
        <v>18</v>
      </c>
      <c r="D138" s="49"/>
      <c r="E138" s="49"/>
      <c r="F138" s="49"/>
      <c r="G138" s="49"/>
      <c r="H138" s="49"/>
      <c r="I138" s="50"/>
    </row>
    <row r="139" spans="1:16" ht="18" x14ac:dyDescent="0.35">
      <c r="A139" s="68" t="s">
        <v>14</v>
      </c>
      <c r="B139" s="74">
        <f>+B131/B138</f>
        <v>0.4336332760310474</v>
      </c>
      <c r="C139" s="48"/>
      <c r="D139" s="49"/>
      <c r="E139" s="49"/>
      <c r="F139" s="49"/>
      <c r="G139" s="49"/>
      <c r="H139" s="49"/>
      <c r="I139" s="50"/>
    </row>
    <row r="140" spans="1:16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16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16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16" x14ac:dyDescent="0.25">
      <c r="A143" s="68" t="s">
        <v>1</v>
      </c>
      <c r="B143" s="53">
        <f>+C20-C14-C15-P21/2</f>
        <v>60.365000000000002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16" x14ac:dyDescent="0.25">
      <c r="A144" s="68" t="s">
        <v>64</v>
      </c>
      <c r="B144" s="58">
        <f>+C17*12/2-C42/2+C11</f>
        <v>1.5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2.4848836246169136E-2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6*1.6*C13-1.6*0.15*C21*C22*C20/12*((C21/2-C42/2/12)/C21)</f>
        <v>2596.9062000000004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1.6*C13*(2*B144)+1.6*C13*(2*(B144+C17*12/2))+1.6*C13*(2*(B144+C17*12))-1.6*0.15*C21*C22*C20/12*((C21/2-C42/2/12)/C21)*(C21/2-C42/2/12)*12/2</f>
        <v>49614.86565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3.159582127438453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0.3164975492536804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4281.667297184269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0.606517512864157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59.165999999999997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+C17*12/2-C42/2+C11</f>
        <v>1.5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2.5352398336882669E-2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7*1.6*C13-1.6*0.15*C21*C22*C20/12*((C22/2-C42/2/12)/C22)</f>
        <v>3046.7353000000003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1.6*C13*(4*B157)+1.6*C13*(3*(B157+C17*12*0.877))-1.6*0.15*C21*C22*C20/12*((C22/2-C42/2/12)/C22)*(C22/2-C42/2/12)*12/2</f>
        <v>44607.184931400006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4.0411234431632721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0.24745593992972151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4462.3823257031854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0.68275980801799485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60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37.03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30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72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13571.28</v>
      </c>
      <c r="U171" s="4" t="s">
        <v>35</v>
      </c>
    </row>
    <row r="172" spans="1:32" ht="18.75" x14ac:dyDescent="0.35">
      <c r="A172" s="45"/>
      <c r="B172" s="53">
        <f>+C65</f>
        <v>31</v>
      </c>
      <c r="C172" s="48" t="s">
        <v>71</v>
      </c>
      <c r="D172" s="83" t="str">
        <f>"#"&amp;+C23</f>
        <v>#9</v>
      </c>
      <c r="E172" s="49" t="s">
        <v>72</v>
      </c>
      <c r="F172" s="49" t="s">
        <v>73</v>
      </c>
      <c r="G172" s="57">
        <f>+C22-0.5</f>
        <v>12.196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30.094221031472344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1.3825050000000001</v>
      </c>
      <c r="H173" s="48" t="s">
        <v>74</v>
      </c>
      <c r="I173" s="50"/>
      <c r="Q173" s="4" t="s">
        <v>7</v>
      </c>
      <c r="R173" s="4">
        <f>+R172*T171/1000</f>
        <v>2973.3184760874847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1285.6062333871396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2527.3207046743619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408.4171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24</v>
      </c>
      <c r="C176" s="48" t="s">
        <v>71</v>
      </c>
      <c r="D176" s="83" t="str">
        <f>"#"&amp;+C24</f>
        <v>#10</v>
      </c>
      <c r="E176" s="49" t="s">
        <v>72</v>
      </c>
      <c r="F176" s="49" t="s">
        <v>73</v>
      </c>
      <c r="G176" s="57">
        <f>+C21-0.5</f>
        <v>13</v>
      </c>
      <c r="H176" s="48" t="s">
        <v>74</v>
      </c>
      <c r="I176" s="50"/>
      <c r="Q176" s="4" t="s">
        <v>14</v>
      </c>
      <c r="R176" s="4">
        <f>+R175/R174</f>
        <v>0.16160082068121362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1.5565437500000003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1344.8464366458331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60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2630.4526700329725</v>
      </c>
      <c r="D180" s="48" t="s">
        <v>78</v>
      </c>
      <c r="E180" s="49" t="s">
        <v>79</v>
      </c>
      <c r="F180" s="88">
        <f>+C180/2000</f>
        <v>1.3152263350164863</v>
      </c>
      <c r="G180" s="48" t="s">
        <v>19</v>
      </c>
      <c r="H180" s="49"/>
      <c r="I180" s="50"/>
      <c r="Q180" s="4" t="s">
        <v>54</v>
      </c>
      <c r="T180" s="4">
        <f>+T179/2</f>
        <v>30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226.18800000000002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17891.28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46.459342204694131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3919.7830554564111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3331.8155971379492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831.21709999999996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0.24947872286630171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60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30</v>
      </c>
      <c r="U192" s="4" t="s">
        <v>0</v>
      </c>
      <c r="W192" s="64"/>
    </row>
    <row r="193" spans="1:32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110.547</v>
      </c>
      <c r="U193" s="4" t="s">
        <v>0</v>
      </c>
      <c r="V193" s="64"/>
      <c r="W193" s="64"/>
    </row>
    <row r="194" spans="1:32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6632.82</v>
      </c>
      <c r="U194" s="4" t="s">
        <v>35</v>
      </c>
    </row>
    <row r="195" spans="1:32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62.132965314903778</v>
      </c>
      <c r="AF195" s="4" t="s">
        <v>5</v>
      </c>
    </row>
    <row r="196" spans="1:32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1453.1780535485664</v>
      </c>
      <c r="S196" s="4" t="s">
        <v>8</v>
      </c>
      <c r="T196" s="4" t="s">
        <v>87</v>
      </c>
    </row>
    <row r="197" spans="1:32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1235.2013455162814</v>
      </c>
      <c r="S197" s="4" t="s">
        <v>8</v>
      </c>
    </row>
    <row r="198" spans="1:32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412.11677500000002</v>
      </c>
      <c r="S198" s="4" t="s">
        <v>8</v>
      </c>
      <c r="T198" s="4" t="s">
        <v>350</v>
      </c>
    </row>
    <row r="199" spans="1:32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0.33364339870253795</v>
      </c>
      <c r="T199" s="4" t="s">
        <v>146</v>
      </c>
      <c r="V199" s="4">
        <f>+(C18*C18+C18*T170+3.1415*T170^2/4/4)/144</f>
        <v>25.630875</v>
      </c>
      <c r="W199" s="4" t="s">
        <v>147</v>
      </c>
    </row>
    <row r="200" spans="1:32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32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32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60</v>
      </c>
      <c r="U202" s="4" t="s">
        <v>0</v>
      </c>
      <c r="V202" s="4" t="s">
        <v>53</v>
      </c>
      <c r="W202" s="64"/>
    </row>
    <row r="203" spans="1:32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32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114.3668</v>
      </c>
      <c r="U204" s="4" t="s">
        <v>0</v>
      </c>
      <c r="V204" s="64"/>
      <c r="W204" s="64"/>
    </row>
    <row r="205" spans="1:32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6862.0079999999998</v>
      </c>
      <c r="U205" s="4" t="s">
        <v>35</v>
      </c>
    </row>
    <row r="206" spans="1:32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60.654186705624141</v>
      </c>
      <c r="AF206" s="4" t="s">
        <v>5</v>
      </c>
    </row>
    <row r="207" spans="1:32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751.69531427618199</v>
      </c>
      <c r="S207" s="4" t="s">
        <v>8</v>
      </c>
      <c r="T207" s="4" t="s">
        <v>93</v>
      </c>
    </row>
    <row r="208" spans="1:32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Q208" s="4" t="s">
        <v>12</v>
      </c>
      <c r="R208" s="4">
        <f>+R207*0.85</f>
        <v>638.9410171347547</v>
      </c>
      <c r="S208" s="4" t="s">
        <v>8</v>
      </c>
    </row>
    <row r="209" spans="1:20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Q209" s="4" t="s">
        <v>58</v>
      </c>
      <c r="R209" s="4">
        <f>1.6*C13-1.6*(T204*0.7071/12*T204*0.7071/2/12)*C20/12*0.15</f>
        <v>416.20951440748649</v>
      </c>
      <c r="S209" s="4" t="s">
        <v>8</v>
      </c>
      <c r="T209" s="4" t="s">
        <v>350</v>
      </c>
    </row>
    <row r="210" spans="1:20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Q210" s="4" t="s">
        <v>14</v>
      </c>
      <c r="R210" s="4">
        <f>+R209/R208</f>
        <v>0.65140522089804509</v>
      </c>
    </row>
    <row r="211" spans="1:20" x14ac:dyDescent="0.25">
      <c r="A211" s="49"/>
      <c r="B211" s="49"/>
      <c r="C211" s="49"/>
      <c r="D211" s="49"/>
      <c r="E211" s="49"/>
      <c r="F211" s="49"/>
      <c r="G211" s="49"/>
      <c r="H211" s="49"/>
      <c r="I211" s="49"/>
    </row>
    <row r="212" spans="1:20" x14ac:dyDescent="0.25">
      <c r="A212" s="49"/>
      <c r="B212" s="49"/>
      <c r="C212" s="49"/>
      <c r="D212" s="49"/>
      <c r="E212" s="49"/>
      <c r="F212" s="49"/>
      <c r="G212" s="49"/>
      <c r="H212" s="49"/>
      <c r="I212" s="49"/>
    </row>
    <row r="213" spans="1:20" x14ac:dyDescent="0.25">
      <c r="A213" s="49"/>
      <c r="B213" s="49"/>
      <c r="C213" s="49"/>
      <c r="D213" s="49"/>
      <c r="E213" s="49"/>
      <c r="F213" s="49"/>
      <c r="G213" s="49"/>
      <c r="H213" s="49"/>
      <c r="I213" s="49"/>
    </row>
    <row r="214" spans="1:20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20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20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20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20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19" spans="1:20" x14ac:dyDescent="0.25">
      <c r="A219" s="49"/>
      <c r="B219" s="49"/>
      <c r="C219" s="49"/>
      <c r="D219" s="49"/>
      <c r="E219" s="49"/>
      <c r="F219" s="49"/>
      <c r="G219" s="49"/>
      <c r="H219" s="49"/>
      <c r="I219" s="49"/>
    </row>
    <row r="220" spans="1:20" x14ac:dyDescent="0.25">
      <c r="A220" s="49"/>
      <c r="B220" s="49"/>
      <c r="C220" s="49"/>
      <c r="D220" s="49"/>
      <c r="E220" s="49"/>
      <c r="F220" s="49"/>
      <c r="G220" s="49"/>
      <c r="H220" s="49"/>
      <c r="I220" s="49"/>
    </row>
    <row r="221" spans="1:20" x14ac:dyDescent="0.25">
      <c r="A221" s="49"/>
      <c r="B221" s="49"/>
      <c r="C221" s="49"/>
      <c r="D221" s="49"/>
      <c r="E221" s="49"/>
      <c r="F221" s="49"/>
      <c r="G221" s="49"/>
      <c r="H221" s="49"/>
      <c r="I221" s="49"/>
    </row>
    <row r="222" spans="1:20" x14ac:dyDescent="0.25">
      <c r="A222" s="49"/>
      <c r="B222" s="49"/>
      <c r="C222" s="49"/>
      <c r="D222" s="49"/>
      <c r="E222" s="49"/>
      <c r="F222" s="49"/>
      <c r="G222" s="49"/>
      <c r="H222" s="49"/>
      <c r="I222" s="49"/>
    </row>
    <row r="223" spans="1:20" x14ac:dyDescent="0.25">
      <c r="A223" s="49"/>
      <c r="B223" s="49"/>
      <c r="C223" s="49"/>
      <c r="D223" s="49"/>
      <c r="E223" s="49"/>
      <c r="F223" s="49"/>
      <c r="G223" s="49"/>
      <c r="H223" s="49"/>
      <c r="I223" s="49"/>
    </row>
    <row r="224" spans="1:20" x14ac:dyDescent="0.25">
      <c r="A224" s="49"/>
      <c r="B224" s="49"/>
      <c r="C224" s="49"/>
      <c r="D224" s="49"/>
      <c r="E224" s="49"/>
      <c r="F224" s="49"/>
      <c r="G224" s="49"/>
      <c r="H224" s="49"/>
      <c r="I224" s="49"/>
    </row>
    <row r="225" spans="1:9" x14ac:dyDescent="0.25">
      <c r="A225" s="49"/>
      <c r="B225" s="49"/>
      <c r="C225" s="49"/>
      <c r="D225" s="49"/>
      <c r="E225" s="49"/>
      <c r="F225" s="49"/>
      <c r="G225" s="49"/>
      <c r="H225" s="49"/>
      <c r="I225" s="49"/>
    </row>
    <row r="226" spans="1:9" x14ac:dyDescent="0.25">
      <c r="A226" s="49"/>
      <c r="B226" s="49"/>
      <c r="C226" s="49"/>
      <c r="D226" s="49"/>
      <c r="E226" s="49"/>
      <c r="F226" s="49"/>
      <c r="G226" s="49"/>
      <c r="H226" s="49"/>
      <c r="I226" s="49"/>
    </row>
    <row r="227" spans="1:9" x14ac:dyDescent="0.25">
      <c r="A227" s="49"/>
      <c r="B227" s="49"/>
      <c r="C227" s="49"/>
      <c r="D227" s="49"/>
      <c r="E227" s="49"/>
      <c r="F227" s="49"/>
      <c r="G227" s="49"/>
      <c r="H227" s="49"/>
      <c r="I227" s="49"/>
    </row>
    <row r="228" spans="1:9" x14ac:dyDescent="0.25">
      <c r="A228" s="49"/>
      <c r="B228" s="49"/>
      <c r="C228" s="49"/>
      <c r="D228" s="49"/>
      <c r="E228" s="49"/>
      <c r="F228" s="49"/>
      <c r="G228" s="49"/>
      <c r="H228" s="49"/>
      <c r="I228" s="49"/>
    </row>
    <row r="229" spans="1:9" x14ac:dyDescent="0.25">
      <c r="A229" s="49"/>
      <c r="B229" s="49"/>
      <c r="C229" s="49"/>
      <c r="D229" s="49"/>
      <c r="E229" s="49"/>
      <c r="F229" s="49"/>
      <c r="G229" s="49"/>
      <c r="H229" s="49"/>
      <c r="I229" s="49"/>
    </row>
    <row r="230" spans="1:9" x14ac:dyDescent="0.25">
      <c r="A230" s="49"/>
      <c r="B230" s="49"/>
      <c r="C230" s="49"/>
      <c r="D230" s="49"/>
      <c r="E230" s="49"/>
      <c r="F230" s="49"/>
      <c r="G230" s="49"/>
      <c r="H230" s="49"/>
      <c r="I230" s="49"/>
    </row>
    <row r="231" spans="1:9" x14ac:dyDescent="0.25">
      <c r="A231" s="49"/>
      <c r="B231" s="49"/>
      <c r="C231" s="49"/>
      <c r="D231" s="49"/>
      <c r="E231" s="49"/>
      <c r="F231" s="49"/>
      <c r="G231" s="49"/>
      <c r="H231" s="49"/>
      <c r="I231" s="49"/>
    </row>
    <row r="232" spans="1:9" x14ac:dyDescent="0.25">
      <c r="A232" s="49"/>
      <c r="B232" s="49"/>
      <c r="C232" s="49"/>
      <c r="D232" s="49"/>
      <c r="E232" s="49"/>
      <c r="F232" s="49"/>
      <c r="G232" s="49"/>
      <c r="H232" s="49"/>
      <c r="I232" s="49"/>
    </row>
    <row r="233" spans="1:9" x14ac:dyDescent="0.25">
      <c r="A233" s="49"/>
      <c r="B233" s="49"/>
      <c r="C233" s="49"/>
      <c r="D233" s="49"/>
      <c r="E233" s="49"/>
      <c r="F233" s="49"/>
      <c r="G233" s="49"/>
      <c r="H233" s="49"/>
      <c r="I233" s="49"/>
    </row>
    <row r="234" spans="1:9" x14ac:dyDescent="0.25">
      <c r="A234" s="49"/>
      <c r="B234" s="49"/>
      <c r="C234" s="49"/>
      <c r="D234" s="49"/>
      <c r="E234" s="49"/>
      <c r="F234" s="49"/>
      <c r="G234" s="49"/>
      <c r="H234" s="49"/>
      <c r="I234" s="49"/>
    </row>
    <row r="235" spans="1:9" x14ac:dyDescent="0.25">
      <c r="A235" s="49"/>
      <c r="B235" s="49"/>
      <c r="C235" s="49"/>
      <c r="D235" s="49"/>
      <c r="E235" s="49"/>
      <c r="F235" s="49"/>
      <c r="G235" s="49"/>
      <c r="H235" s="49"/>
      <c r="I235" s="49"/>
    </row>
    <row r="236" spans="1:9" x14ac:dyDescent="0.25">
      <c r="A236" s="49"/>
      <c r="B236" s="49"/>
      <c r="C236" s="49"/>
      <c r="D236" s="49"/>
      <c r="E236" s="49"/>
      <c r="F236" s="49"/>
      <c r="G236" s="49"/>
      <c r="H236" s="49"/>
      <c r="I236" s="49"/>
    </row>
    <row r="237" spans="1:9" x14ac:dyDescent="0.25">
      <c r="A237" s="49"/>
      <c r="B237" s="49"/>
      <c r="C237" s="49"/>
      <c r="D237" s="49"/>
      <c r="E237" s="49"/>
      <c r="F237" s="49"/>
      <c r="G237" s="49"/>
      <c r="H237" s="49"/>
      <c r="I237" s="49"/>
    </row>
    <row r="238" spans="1:9" x14ac:dyDescent="0.25">
      <c r="A238" s="49"/>
      <c r="B238" s="49"/>
      <c r="C238" s="49"/>
      <c r="D238" s="49"/>
      <c r="E238" s="49"/>
      <c r="F238" s="49"/>
      <c r="G238" s="49"/>
      <c r="H238" s="49"/>
      <c r="I238" s="49"/>
    </row>
    <row r="239" spans="1:9" x14ac:dyDescent="0.25">
      <c r="A239" s="49"/>
      <c r="B239" s="49"/>
      <c r="C239" s="49"/>
      <c r="D239" s="49"/>
      <c r="E239" s="49"/>
      <c r="F239" s="49"/>
      <c r="G239" s="49"/>
      <c r="H239" s="49"/>
      <c r="I239" s="49"/>
    </row>
    <row r="240" spans="1:9" x14ac:dyDescent="0.25">
      <c r="A240" s="49"/>
      <c r="B240" s="49"/>
      <c r="C240" s="49"/>
      <c r="D240" s="49"/>
      <c r="E240" s="49"/>
      <c r="F240" s="49"/>
      <c r="G240" s="49"/>
      <c r="H240" s="49"/>
      <c r="I240" s="49"/>
    </row>
    <row r="241" spans="1:9" x14ac:dyDescent="0.25">
      <c r="A241" s="49"/>
      <c r="B241" s="49"/>
      <c r="C241" s="49"/>
      <c r="D241" s="49"/>
      <c r="E241" s="49"/>
      <c r="F241" s="49"/>
      <c r="G241" s="49"/>
      <c r="H241" s="49"/>
      <c r="I241" s="49"/>
    </row>
    <row r="242" spans="1:9" x14ac:dyDescent="0.25">
      <c r="A242" s="49"/>
      <c r="B242" s="49"/>
      <c r="C242" s="49"/>
      <c r="D242" s="49"/>
      <c r="E242" s="49"/>
      <c r="F242" s="49"/>
      <c r="G242" s="49"/>
      <c r="H242" s="49"/>
      <c r="I242" s="49"/>
    </row>
    <row r="243" spans="1:9" x14ac:dyDescent="0.25">
      <c r="A243" s="49"/>
      <c r="B243" s="49"/>
      <c r="C243" s="49"/>
      <c r="D243" s="49"/>
      <c r="E243" s="49"/>
      <c r="F243" s="49"/>
      <c r="G243" s="49"/>
      <c r="H243" s="49"/>
      <c r="I243" s="49"/>
    </row>
    <row r="244" spans="1:9" x14ac:dyDescent="0.25">
      <c r="A244" s="49"/>
      <c r="B244" s="49"/>
      <c r="C244" s="49"/>
      <c r="D244" s="49"/>
      <c r="E244" s="49"/>
      <c r="F244" s="49"/>
      <c r="G244" s="49"/>
      <c r="H244" s="49"/>
      <c r="I244" s="49"/>
    </row>
    <row r="245" spans="1:9" x14ac:dyDescent="0.25">
      <c r="A245" s="49"/>
      <c r="B245" s="49"/>
      <c r="C245" s="49"/>
      <c r="D245" s="49"/>
      <c r="E245" s="49"/>
      <c r="F245" s="49"/>
      <c r="G245" s="49"/>
      <c r="H245" s="49"/>
      <c r="I245" s="49"/>
    </row>
    <row r="246" spans="1:9" x14ac:dyDescent="0.25">
      <c r="A246" s="49"/>
      <c r="B246" s="49"/>
      <c r="C246" s="49"/>
      <c r="D246" s="49"/>
      <c r="E246" s="49"/>
      <c r="F246" s="49"/>
      <c r="G246" s="49"/>
      <c r="H246" s="49"/>
      <c r="I246" s="49"/>
    </row>
    <row r="247" spans="1:9" x14ac:dyDescent="0.25">
      <c r="A247" s="49"/>
      <c r="B247" s="49"/>
      <c r="C247" s="49"/>
      <c r="D247" s="49"/>
      <c r="E247" s="49"/>
      <c r="F247" s="49"/>
      <c r="G247" s="49"/>
      <c r="H247" s="49"/>
      <c r="I247" s="49"/>
    </row>
    <row r="248" spans="1:9" x14ac:dyDescent="0.25">
      <c r="A248" s="49"/>
      <c r="B248" s="49"/>
      <c r="C248" s="49"/>
      <c r="D248" s="49"/>
      <c r="E248" s="49"/>
      <c r="F248" s="49"/>
      <c r="G248" s="49"/>
      <c r="H248" s="49"/>
      <c r="I248" s="49"/>
    </row>
    <row r="249" spans="1:9" x14ac:dyDescent="0.25">
      <c r="A249" s="49"/>
      <c r="B249" s="49"/>
      <c r="C249" s="49"/>
      <c r="D249" s="49"/>
      <c r="E249" s="49"/>
      <c r="F249" s="49"/>
      <c r="G249" s="49"/>
      <c r="H249" s="49"/>
      <c r="I249" s="49"/>
    </row>
    <row r="250" spans="1:9" x14ac:dyDescent="0.25">
      <c r="A250" s="49"/>
      <c r="B250" s="49"/>
      <c r="C250" s="49"/>
      <c r="D250" s="49"/>
      <c r="E250" s="49"/>
      <c r="F250" s="49"/>
      <c r="G250" s="49"/>
      <c r="H250" s="49"/>
      <c r="I250" s="49"/>
    </row>
    <row r="251" spans="1:9" x14ac:dyDescent="0.25">
      <c r="A251" s="49"/>
      <c r="B251" s="49"/>
      <c r="C251" s="49"/>
      <c r="D251" s="49"/>
      <c r="E251" s="49"/>
      <c r="F251" s="49"/>
      <c r="G251" s="49"/>
      <c r="H251" s="49"/>
      <c r="I251" s="49"/>
    </row>
    <row r="252" spans="1:9" x14ac:dyDescent="0.25">
      <c r="A252" s="49"/>
      <c r="B252" s="49"/>
      <c r="C252" s="49"/>
      <c r="D252" s="49"/>
      <c r="E252" s="49"/>
      <c r="F252" s="49"/>
      <c r="G252" s="49"/>
      <c r="H252" s="49"/>
      <c r="I252" s="49"/>
    </row>
    <row r="253" spans="1:9" x14ac:dyDescent="0.25">
      <c r="A253" s="49"/>
      <c r="B253" s="49"/>
      <c r="C253" s="49"/>
      <c r="D253" s="49"/>
      <c r="E253" s="49"/>
      <c r="F253" s="49"/>
      <c r="G253" s="49"/>
      <c r="H253" s="49"/>
      <c r="I253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8" man="1"/>
    <brk id="84" max="8" man="1"/>
    <brk id="125" max="8" man="1"/>
    <brk id="166" max="8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257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40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80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8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21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21" x14ac:dyDescent="0.25">
      <c r="A18" s="45"/>
      <c r="B18" s="46" t="s">
        <v>423</v>
      </c>
      <c r="C18" s="55">
        <f>+IF(C12&lt;61,15,IF(C12&lt;121,21,IF(C12&lt;201,27,IF(C12&lt;281,30,36))))</f>
        <v>15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21" ht="18" x14ac:dyDescent="0.35">
      <c r="A19" s="45"/>
      <c r="B19" s="46" t="s">
        <v>424</v>
      </c>
      <c r="C19" s="54">
        <f>17+30/200*C12</f>
        <v>23</v>
      </c>
      <c r="D19" s="48" t="s">
        <v>0</v>
      </c>
      <c r="E19" s="46" t="s">
        <v>260</v>
      </c>
      <c r="F19" s="57">
        <f>+C21-2*U26</f>
        <v>5.8670079999999976</v>
      </c>
      <c r="G19" s="48" t="s">
        <v>422</v>
      </c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20.737575</v>
      </c>
    </row>
    <row r="20" spans="1:21" ht="18" x14ac:dyDescent="0.35">
      <c r="A20" s="45"/>
      <c r="B20" s="46" t="s">
        <v>425</v>
      </c>
      <c r="C20" s="56">
        <v>48</v>
      </c>
      <c r="D20" s="48" t="s">
        <v>0</v>
      </c>
      <c r="E20" s="46" t="s">
        <v>261</v>
      </c>
      <c r="F20" s="74">
        <f>2*S27</f>
        <v>7.4439999999999991</v>
      </c>
      <c r="G20" s="48" t="s">
        <v>422</v>
      </c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21" x14ac:dyDescent="0.25">
      <c r="A21" s="45"/>
      <c r="B21" s="46" t="s">
        <v>426</v>
      </c>
      <c r="C21" s="53">
        <f>2*C18/12+4*C17*0.866</f>
        <v>12.891999999999999</v>
      </c>
      <c r="D21" s="48" t="s">
        <v>422</v>
      </c>
      <c r="I21" s="50"/>
      <c r="J21" s="4" t="s">
        <v>34</v>
      </c>
      <c r="L21" s="4">
        <f>+IF(C23&lt;9,(C23/8),IF(C23=9,1.128,IF(C23=10,1.27,IF(C23=11,1.41,IF(C23=14,1.693,0)))))</f>
        <v>1.41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21" ht="17.25" x14ac:dyDescent="0.25">
      <c r="A22" s="45"/>
      <c r="B22" s="46" t="s">
        <v>427</v>
      </c>
      <c r="C22" s="54">
        <f>2*C18/12+3*C17</f>
        <v>11.5</v>
      </c>
      <c r="D22" s="48" t="s">
        <v>422</v>
      </c>
      <c r="I22" s="50"/>
      <c r="J22" s="4" t="s">
        <v>36</v>
      </c>
      <c r="L22" s="4">
        <f>3.1415*L21^2/4</f>
        <v>1.5614040375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21" x14ac:dyDescent="0.25">
      <c r="A23" s="45"/>
      <c r="B23" s="46" t="s">
        <v>428</v>
      </c>
      <c r="C23" s="47">
        <v>11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21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21" ht="18" x14ac:dyDescent="0.35">
      <c r="A25" s="45"/>
      <c r="B25" s="46" t="s">
        <v>430</v>
      </c>
      <c r="C25" s="57">
        <f>+C20-C14-C15-P21-0.5*L21</f>
        <v>36.885000000000005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21" ht="18" x14ac:dyDescent="0.35">
      <c r="A26" s="45"/>
      <c r="B26" s="46" t="s">
        <v>431</v>
      </c>
      <c r="C26" s="58">
        <f>+C20-C14-C15-P21/2</f>
        <v>38.295000000000002</v>
      </c>
      <c r="D26" s="48" t="s">
        <v>0</v>
      </c>
      <c r="E26" s="49"/>
      <c r="F26" s="49"/>
      <c r="G26" s="49"/>
      <c r="H26" s="49"/>
      <c r="I26" s="50"/>
      <c r="O26" s="93"/>
      <c r="P26" s="93" t="s">
        <v>258</v>
      </c>
      <c r="Q26" s="93">
        <f>+C21/2</f>
        <v>6.4459999999999997</v>
      </c>
      <c r="R26" s="93" t="s">
        <v>262</v>
      </c>
      <c r="S26" s="93">
        <f>+Q26</f>
        <v>6.4459999999999997</v>
      </c>
      <c r="T26" s="93" t="s">
        <v>265</v>
      </c>
      <c r="U26" s="93">
        <f>+U27*2*0.866</f>
        <v>3.512496000000001</v>
      </c>
    </row>
    <row r="27" spans="1:21" ht="18" x14ac:dyDescent="0.35">
      <c r="A27" s="45"/>
      <c r="B27" s="46" t="s">
        <v>432</v>
      </c>
      <c r="C27" s="54">
        <f>+C20-C14-C15-1</f>
        <v>38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9.027166454840966</v>
      </c>
      <c r="O27" s="93"/>
      <c r="P27" s="93" t="s">
        <v>259</v>
      </c>
      <c r="Q27" s="93">
        <f>+C17-0.5774*C18/12</f>
        <v>2.2782499999999999</v>
      </c>
      <c r="R27" s="93" t="s">
        <v>263</v>
      </c>
      <c r="S27" s="93">
        <f>+Q27+1.155*C18/12</f>
        <v>3.7219999999999995</v>
      </c>
      <c r="T27" s="93" t="s">
        <v>264</v>
      </c>
      <c r="U27" s="93">
        <f>+(C22-F20)/2</f>
        <v>2.0280000000000005</v>
      </c>
    </row>
    <row r="28" spans="1:21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  <c r="O28" s="93"/>
      <c r="P28" s="93"/>
      <c r="Q28" s="93"/>
      <c r="R28" s="93"/>
      <c r="S28" s="93"/>
      <c r="T28" s="93"/>
      <c r="U28" s="93"/>
    </row>
    <row r="29" spans="1:21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M29" s="4">
        <f>+IF(C8="Round",C16,L27)</f>
        <v>8</v>
      </c>
    </row>
    <row r="30" spans="1:21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21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21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38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19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46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5491.3420000000006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">
        <v>229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21.291876679082574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1203.0927537502137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1022.6288406876815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116.92097666666666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1.6*15*C13-1.6*C21*C22*C20/12*0.15+1.6*2*U26*U27*C20/12*0.15</f>
        <v>1791.3491364249599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0.11433373675246775</v>
      </c>
    </row>
    <row r="41" spans="1:25" x14ac:dyDescent="0.25">
      <c r="A41" s="45"/>
      <c r="B41" s="46" t="s">
        <v>433</v>
      </c>
      <c r="C41" s="58">
        <f>+(C40/4)^0.5</f>
        <v>21.16216633774151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22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1.6*C13*(2*(0.5*C17*12+C11-C42/4))+1.6*C13*(3*(1*C17*12+C11-C42/4))+1.6*C13*(2*(1.5*C17*12+C11-C42/4))-1.6*(C22/2-C42/12/4)*C21*C20/12*0.15*(C22/2-C42/12/4)*12/2+1.6*U26*U27*C20/12*0.15*(C22*12/2-U27*12/3)</f>
        <v>28353.026319241482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2199.2729071704534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36.885000000000005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1.1431701120070556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14.737749083994961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19.650332111993283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15.627228498653297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19.020856800000004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19.020856800000004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13.366425600000001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19.020856800000004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1.1210434782608696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0.94293210888816015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9.2058750000000007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15.578801343954007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3.7050000000000001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19.020856800000004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3.7050000000000001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3.7050000000000001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46.337328364937051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55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12.181892926609013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17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46.337328364937051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55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1.6*C13*(4*(0.866*C17*12+C11-C42/4))+1.6*C13*(2*(2*0.866*C17*12+C11-C42/4))-1.6*(C21/2-C42/12/4)*C22*C20/12*0.15*(C21/2-C42/12/4)*12/2+1.6*U26*U27*C20/12*0.15*(C21*12/2-U26*12/3)</f>
        <v>28062.262470240945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2440.1967365426908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38.295000000000002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1.2227437488241542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10.8825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14.061553111477773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18.748737481970362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3.7050000000000001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14.472774384365632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17.6157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17.6157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11.923200000000001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17.6157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3.7050000000000001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46.337328364937051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46.337328364937051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63.352000000000004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63.352000000000004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11.28196134820101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13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38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30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19</v>
      </c>
      <c r="C87" s="48" t="s">
        <v>0</v>
      </c>
      <c r="D87" s="49"/>
      <c r="E87" s="49"/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+C17*12*0.5+C11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+IF(M86&gt;O91,0,IF(M86&gt;O89,4,IF(M86&gt;O88,8,IF(M86&gt;O90,10,14))))</f>
        <v>14</v>
      </c>
      <c r="F88" s="49"/>
      <c r="G88" s="49"/>
      <c r="H88" s="49"/>
      <c r="I88" s="50"/>
      <c r="J88" s="4" t="s">
        <v>251</v>
      </c>
      <c r="K88" s="64"/>
      <c r="L88" s="64"/>
      <c r="M88" s="64"/>
      <c r="N88" s="64"/>
      <c r="O88" s="64">
        <f>+C17*12+C11</f>
        <v>39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266</v>
      </c>
      <c r="K89" s="64"/>
      <c r="L89" s="64"/>
      <c r="M89" s="64"/>
      <c r="N89" s="64"/>
      <c r="O89" s="64">
        <f>1.5*C17*12+C11</f>
        <v>57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240</v>
      </c>
      <c r="C90" s="48" t="s">
        <v>0</v>
      </c>
      <c r="D90" s="49"/>
      <c r="E90" s="49"/>
      <c r="F90" s="49"/>
      <c r="G90" s="49"/>
      <c r="H90" s="49"/>
      <c r="I90" s="50"/>
      <c r="J90" s="4" t="s">
        <v>241</v>
      </c>
      <c r="K90" s="64"/>
      <c r="L90" s="64"/>
      <c r="M90" s="64"/>
      <c r="N90" s="64"/>
      <c r="O90" s="64">
        <f>+C17*12*0.866+C11</f>
        <v>34.176000000000002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1998.0918897788463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242</v>
      </c>
      <c r="K91" s="64"/>
      <c r="L91" s="64"/>
      <c r="M91" s="64"/>
      <c r="N91" s="64"/>
      <c r="O91" s="64">
        <f>+C17*12*2*0.866+C11</f>
        <v>65.352000000000004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1698.3781063120193</v>
      </c>
      <c r="C92" s="48" t="s">
        <v>18</v>
      </c>
      <c r="D92" s="49"/>
      <c r="E92" s="49"/>
      <c r="F92" s="49"/>
      <c r="G92" s="49"/>
      <c r="H92" s="49"/>
      <c r="I92" s="50"/>
      <c r="L92" s="4" t="s">
        <v>83</v>
      </c>
      <c r="O92" s="4">
        <f>+B89</f>
        <v>219.08902300206645</v>
      </c>
      <c r="P92" s="4" t="s">
        <v>5</v>
      </c>
    </row>
    <row r="93" spans="1:17" ht="18" x14ac:dyDescent="0.35">
      <c r="A93" s="68" t="s">
        <v>58</v>
      </c>
      <c r="B93" s="79">
        <f>+E88*1.6*C13-1.6*0.15*C21*C22*C20/12+1.6*0.15*(2*M86)/12*(2*M86)/12*C20/12+1.6*2*U26*U27*C20/12*0.15</f>
        <v>1687.3491364249601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0.99350617518792184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38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49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+IF(M98&gt;O100,0,IF(M98&gt;O99,2,6))</f>
        <v>2</v>
      </c>
      <c r="F99" s="49"/>
      <c r="G99" s="49"/>
      <c r="H99" s="49"/>
      <c r="I99" s="50"/>
      <c r="J99" s="4" t="s">
        <v>244</v>
      </c>
      <c r="K99" s="64"/>
      <c r="L99" s="64"/>
      <c r="M99" s="64"/>
      <c r="N99" s="64"/>
      <c r="O99" s="64">
        <f>0.866*C17*12+C11</f>
        <v>34.176000000000002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245</v>
      </c>
      <c r="K100" s="64"/>
      <c r="L100" s="64"/>
      <c r="M100" s="64"/>
      <c r="N100" s="64"/>
      <c r="O100" s="64">
        <f>2*0.866*C17*12+C11</f>
        <v>65.352000000000004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+M105*12*B98</f>
        <v>4638.5471408775975</v>
      </c>
      <c r="C101" s="48" t="s">
        <v>436</v>
      </c>
      <c r="D101" s="49"/>
      <c r="E101" s="49"/>
      <c r="F101" s="49"/>
      <c r="G101" s="49"/>
      <c r="H101" s="49"/>
      <c r="I101" s="50"/>
      <c r="K101" s="64"/>
      <c r="L101" s="64"/>
      <c r="M101" s="64"/>
      <c r="N101" s="64"/>
      <c r="O101" s="64"/>
    </row>
    <row r="102" spans="1:17" ht="18.75" x14ac:dyDescent="0.35">
      <c r="A102" s="68" t="s">
        <v>7</v>
      </c>
      <c r="B102" s="79">
        <f>+B100*B101/1000</f>
        <v>508.12738062195081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431.90827352865819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+E99*C13*1.6-1.6*0.15*C21*C22*C20/12*((C21/2-M98/12)/C21)+1.6*U26*U27*C20/12*0.15</f>
        <v>236.75456821248</v>
      </c>
      <c r="C104" s="48" t="s">
        <v>18</v>
      </c>
      <c r="D104" s="49" t="s">
        <v>132</v>
      </c>
      <c r="E104" s="49"/>
      <c r="F104" s="49"/>
      <c r="G104" s="49"/>
      <c r="H104" s="49"/>
      <c r="I104" s="50"/>
      <c r="L104" s="4" t="s">
        <v>270</v>
      </c>
      <c r="M104" s="4">
        <f>+C22</f>
        <v>11.5</v>
      </c>
    </row>
    <row r="105" spans="1:17" ht="18" x14ac:dyDescent="0.35">
      <c r="A105" s="68" t="s">
        <v>14</v>
      </c>
      <c r="B105" s="74">
        <f>+B104/B103</f>
        <v>0.54815937254040759</v>
      </c>
      <c r="C105" s="49"/>
      <c r="D105" s="49"/>
      <c r="E105" s="49"/>
      <c r="F105" s="49"/>
      <c r="G105" s="49"/>
      <c r="H105" s="49"/>
      <c r="I105" s="50"/>
      <c r="L105" s="4" t="s">
        <v>269</v>
      </c>
      <c r="M105" s="4">
        <f>+IF(M98/12&lt;F19/2,C22,C22-2*(M98/12-F19/2)/0.866*0.5)</f>
        <v>10.172252501924556</v>
      </c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38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49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+IF(M109&gt;O112,0,IF(M109&gt;O111,2,IF(M109&gt;O110,5,7)))</f>
        <v>2</v>
      </c>
      <c r="F110" s="49"/>
      <c r="G110" s="49"/>
      <c r="H110" s="49"/>
      <c r="I110" s="50"/>
      <c r="J110" s="4" t="s">
        <v>252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253</v>
      </c>
      <c r="K111" s="64"/>
      <c r="L111" s="64"/>
      <c r="M111" s="64"/>
      <c r="N111" s="64"/>
      <c r="O111" s="64">
        <f>C17*12+C11</f>
        <v>39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+M116*12*B109</f>
        <v>5307.9956479999992</v>
      </c>
      <c r="C112" s="48" t="s">
        <v>436</v>
      </c>
      <c r="D112" s="49"/>
      <c r="E112" s="49"/>
      <c r="F112" s="49"/>
      <c r="G112" s="49"/>
      <c r="H112" s="49"/>
      <c r="I112" s="50"/>
      <c r="J112" s="4" t="s">
        <v>267</v>
      </c>
      <c r="K112" s="64"/>
      <c r="L112" s="64"/>
      <c r="M112" s="64"/>
      <c r="N112" s="64"/>
      <c r="O112" s="64">
        <f>1.5*C17*12+C11</f>
        <v>57</v>
      </c>
      <c r="P112" s="4" t="s">
        <v>0</v>
      </c>
      <c r="Q112" s="4" t="s">
        <v>120</v>
      </c>
    </row>
    <row r="113" spans="1:23" ht="18.75" x14ac:dyDescent="0.35">
      <c r="A113" s="68" t="s">
        <v>7</v>
      </c>
      <c r="B113" s="79">
        <f>+B111*B112/1000</f>
        <v>581.46179030977032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494.24252176330475</v>
      </c>
      <c r="C114" s="48" t="s">
        <v>18</v>
      </c>
      <c r="D114" s="49"/>
      <c r="E114" s="49"/>
      <c r="F114" s="49"/>
      <c r="G114" s="49"/>
      <c r="H114" s="49"/>
      <c r="I114" s="50"/>
      <c r="L114" s="4" t="s">
        <v>83</v>
      </c>
      <c r="O114" s="4">
        <f>+B111</f>
        <v>109.54451150103323</v>
      </c>
      <c r="P114" s="4" t="s">
        <v>5</v>
      </c>
    </row>
    <row r="115" spans="1:23" ht="18" x14ac:dyDescent="0.35">
      <c r="A115" s="68" t="s">
        <v>58</v>
      </c>
      <c r="B115" s="79">
        <f>+E110*C13*1.6-1.6*0.15*C21*C22*C20/12*((C22/2-M109/12)/C22)+1.6*U26*U27*C20/12*0.15</f>
        <v>242.21120821247999</v>
      </c>
      <c r="C115" s="48" t="s">
        <v>18</v>
      </c>
      <c r="D115" s="49" t="s">
        <v>132</v>
      </c>
      <c r="E115" s="49"/>
      <c r="F115" s="49"/>
      <c r="G115" s="49"/>
      <c r="H115" s="49"/>
      <c r="I115" s="50"/>
      <c r="L115" s="4" t="s">
        <v>270</v>
      </c>
      <c r="M115" s="4">
        <f>+C21</f>
        <v>12.891999999999999</v>
      </c>
    </row>
    <row r="116" spans="1:23" ht="18" x14ac:dyDescent="0.35">
      <c r="A116" s="68" t="s">
        <v>14</v>
      </c>
      <c r="B116" s="74">
        <f>+B115/B114</f>
        <v>0.49006549931872551</v>
      </c>
      <c r="C116" s="48"/>
      <c r="D116" s="49"/>
      <c r="E116" s="49"/>
      <c r="F116" s="49"/>
      <c r="G116" s="49"/>
      <c r="H116" s="49"/>
      <c r="I116" s="50"/>
      <c r="L116" s="4" t="s">
        <v>269</v>
      </c>
      <c r="M116" s="4">
        <f>+IF(M109/12&lt;F20/2,C21,C21-2*(M109/12-F20/2)/0.5*0.866)</f>
        <v>11.640341333333332</v>
      </c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16.588000000000001</v>
      </c>
      <c r="W126" s="4" t="s">
        <v>0</v>
      </c>
    </row>
    <row r="127" spans="1:23" ht="18" x14ac:dyDescent="0.35">
      <c r="A127" s="68" t="s">
        <v>1</v>
      </c>
      <c r="B127" s="53">
        <f>+B86</f>
        <v>38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1652.8989866666668</v>
      </c>
      <c r="W127" s="49" t="s">
        <v>8</v>
      </c>
    </row>
    <row r="128" spans="1:23" ht="18.75" x14ac:dyDescent="0.35">
      <c r="A128" s="68" t="s">
        <v>54</v>
      </c>
      <c r="B128" s="54">
        <f>+B127/2</f>
        <v>19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OK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14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10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+C17*12*0.866-C42/2+C11</f>
        <v>23.175999999999998</v>
      </c>
      <c r="S130" s="4" t="s">
        <v>0</v>
      </c>
      <c r="U130" s="49" t="s">
        <v>11</v>
      </c>
      <c r="V130" s="49">
        <f>+B134</f>
        <v>240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+C13*E129*1.6-1.6*0.15*C21*C22*C20/12+1.6*0.15*(C42)/12*(C42)/12*C20/12+1.6*2*U26*U27*C20/12*0.15</f>
        <v>1666.5758030916268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+C13*E129*1.6-1.6*0.15*C21*C22*C20/12+1.6*0.15*(C42)/12*(C42)/12*C20/12+1.6*2*U26*U27*C20/12*0.15</f>
        <v>1666.5758030916268</v>
      </c>
      <c r="S131" s="49" t="s">
        <v>8</v>
      </c>
      <c r="T131" s="49"/>
      <c r="U131" s="49" t="s">
        <v>2</v>
      </c>
      <c r="V131" s="49">
        <f>+B135</f>
        <v>88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12.495341648946665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2288.6270741378148</v>
      </c>
      <c r="W133" s="49" t="s">
        <v>8</v>
      </c>
    </row>
    <row r="134" spans="1:23" ht="18" x14ac:dyDescent="0.35">
      <c r="A134" s="68" t="s">
        <v>11</v>
      </c>
      <c r="B134" s="58">
        <f>4*(B127+C42)</f>
        <v>240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240</v>
      </c>
      <c r="S134" s="49" t="s">
        <v>0</v>
      </c>
      <c r="T134" s="49"/>
      <c r="U134" s="45" t="s">
        <v>12</v>
      </c>
      <c r="V134" s="49">
        <f>+V133*0.85</f>
        <v>1945.3330130171425</v>
      </c>
      <c r="W134" s="49" t="s">
        <v>8</v>
      </c>
    </row>
    <row r="135" spans="1:23" ht="18" x14ac:dyDescent="0.35">
      <c r="A135" s="68" t="s">
        <v>2</v>
      </c>
      <c r="B135" s="58">
        <f>4*C42</f>
        <v>88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1135.2794828288897</v>
      </c>
      <c r="P135" s="4" t="s">
        <v>5</v>
      </c>
      <c r="Q135" s="49" t="s">
        <v>2</v>
      </c>
      <c r="R135" s="49">
        <f>+B135</f>
        <v>88</v>
      </c>
      <c r="S135" s="49" t="s">
        <v>0</v>
      </c>
      <c r="T135" s="49"/>
      <c r="U135" s="45" t="s">
        <v>14</v>
      </c>
      <c r="V135" s="49">
        <f>+V127/V134</f>
        <v>0.84967405354576242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20.727272727272727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8.9434210939216126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3796.3745905798073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14.83534691059717</v>
      </c>
      <c r="Q137" s="49" t="s">
        <v>7</v>
      </c>
      <c r="R137" s="49">
        <f>+R136*(C9*1000)^0.5*R135*B127/1000</f>
        <v>1638.0629058421678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3226.9184019928362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2717.218748210988</v>
      </c>
      <c r="Q138" s="49" t="s">
        <v>12</v>
      </c>
      <c r="R138" s="49">
        <f>+R137*0.85</f>
        <v>1392.3534699658426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0.51646047264858186</v>
      </c>
      <c r="C139" s="48"/>
      <c r="D139" s="110" t="s">
        <v>235</v>
      </c>
      <c r="F139" s="4" t="s">
        <v>14</v>
      </c>
      <c r="G139" s="88">
        <f>+(B139+R139)/2</f>
        <v>0.85670463202946756</v>
      </c>
      <c r="H139" s="49"/>
      <c r="I139" s="50"/>
      <c r="K139" s="4">
        <f>+R131/K138</f>
        <v>0.61333884295804209</v>
      </c>
      <c r="Q139" s="49" t="s">
        <v>14</v>
      </c>
      <c r="R139" s="49">
        <f>+R131/R138</f>
        <v>1.1969487914103532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38.295000000000002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+C17*12*0.866-C42/2+C11</f>
        <v>23.175999999999998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0.60519650084867471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6*1.6*C13-1.6*0.15*C21*C22*C20/12*((C21/2-C42/2/12)/C21)+1.6*U26*U27*C20/12*0.15</f>
        <v>713.79456821248016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1.6*C13*(4*B144)+1.6*C13*(2*(B144+0.866*C17*12))-1.6*0.15*C21*C22*C20/12*((C21/2-C42/2/12)/C21)*(C21/2-C42/2/12)*12/2+1.6*U26*U27*C20/12*0.15*(C21*12/2-U26*12/3)</f>
        <v>24187.918590240941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1.1300998425191344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234.61761696190032</v>
      </c>
      <c r="P148" s="4" t="s">
        <v>5</v>
      </c>
    </row>
    <row r="149" spans="1:16" ht="18" x14ac:dyDescent="0.35">
      <c r="A149" s="68" t="s">
        <v>447</v>
      </c>
      <c r="B149" s="58">
        <f>1/B148</f>
        <v>0.88487756778274962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4.2835120399379827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1053.9031565545156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0.67728667835672951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36.885000000000005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+C17*12*0.5-C42/2+C11</f>
        <v>10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0.27111291853056796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7*1.6*C13-1.6*0.15*C21*C22*C20/12*((C22/2-C42/2/12)/C22)+1.6*U26*U27*C20/12*0.15</f>
        <v>843.01952821248005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1.6*C13*(2*B157)+1.6*C13*(3*(B157+0.5*C17*12))+1.6*C13*(2*(B157+1*C17*12))-1.6*0.15*C21*C22*C20/12*((C22/2-C42/2/12)/C22)*(C22/2-C42/2/12)*12/2+1.6*U26*U27*C20/12*0.15*(C22*12/2-U27*12/3)</f>
        <v>23769.629479241481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1.3081724864610556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0.76442518884131117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2656.6288447710604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0.31732679928992064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38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+C22*C21*C20/12/27-2*U26*U27*C20/12/27</f>
        <v>19.853528329481477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19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46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5491.3420000000006</v>
      </c>
      <c r="U171" s="4" t="s">
        <v>35</v>
      </c>
    </row>
    <row r="172" spans="1:32" ht="18.75" x14ac:dyDescent="0.35">
      <c r="A172" s="45"/>
      <c r="B172" s="53">
        <f>+C65</f>
        <v>17</v>
      </c>
      <c r="C172" s="48" t="s">
        <v>71</v>
      </c>
      <c r="D172" s="83" t="str">
        <f>"#"&amp;+C23</f>
        <v>#11</v>
      </c>
      <c r="E172" s="49" t="s">
        <v>72</v>
      </c>
      <c r="F172" s="49" t="s">
        <v>73</v>
      </c>
      <c r="G172" s="57">
        <f>+C22-0.5</f>
        <v>11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21.291876679082574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1.7281312499999999</v>
      </c>
      <c r="H173" s="48" t="s">
        <v>74</v>
      </c>
      <c r="I173" s="50"/>
      <c r="Q173" s="4" t="s">
        <v>7</v>
      </c>
      <c r="R173" s="4">
        <f>+R172*T171/1000</f>
        <v>1203.0927537502137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993.55174969531265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1022.6288406876815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116.92097666666666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13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12.391999999999999</v>
      </c>
      <c r="H176" s="48" t="s">
        <v>74</v>
      </c>
      <c r="I176" s="50"/>
      <c r="Q176" s="4" t="s">
        <v>14</v>
      </c>
      <c r="R176" s="4">
        <f>+R175/R174</f>
        <v>0.11433373675246775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855.92092336318763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38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1849.4726730585003</v>
      </c>
      <c r="D180" s="48" t="s">
        <v>78</v>
      </c>
      <c r="E180" s="49" t="s">
        <v>79</v>
      </c>
      <c r="F180" s="88">
        <f>+C180/2000</f>
        <v>0.92473633652925014</v>
      </c>
      <c r="G180" s="48" t="s">
        <v>19</v>
      </c>
      <c r="H180" s="49"/>
      <c r="I180" s="50"/>
      <c r="Q180" s="4" t="s">
        <v>54</v>
      </c>
      <c r="T180" s="4">
        <f>+T179/2</f>
        <v>19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144.50900000000001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8227.3420000000006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28.427282671203734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1802.5203206838673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1532.1422725812872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233.88097666666667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0.15264964674111764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38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19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66.127250000000004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2512.8355000000001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47.408691960403566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550.53467465990923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467.95447346092283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119.13024416666667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0.2545765687110475</v>
      </c>
      <c r="T199" s="4" t="s">
        <v>146</v>
      </c>
      <c r="V199" s="4">
        <f>+(C18*C18+C18*T170+3.1415*T170^2/4/4)/144</f>
        <v>9.2393289930555564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38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76.425999999999988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2904.1879999999996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40.722328440344363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318.13785576716265</v>
      </c>
      <c r="S207" s="4" t="s">
        <v>8</v>
      </c>
      <c r="T207" s="4" t="s">
        <v>93</v>
      </c>
    </row>
    <row r="208" spans="1:58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270.41717740208827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118.26529758850678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0.43734388001785823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3" max="36" man="1"/>
    <brk id="84" max="36" man="1"/>
    <brk id="125" max="36" man="1"/>
    <brk id="166" max="36" man="1"/>
    <brk id="207" max="36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8.85546875" style="4" hidden="1" customWidth="1"/>
    <col min="11" max="11" width="12.85546875" style="4" hidden="1" customWidth="1"/>
    <col min="12" max="12" width="15.5703125" style="4" hidden="1" customWidth="1"/>
    <col min="13" max="13" width="8.85546875" style="4" hidden="1" customWidth="1"/>
    <col min="14" max="14" width="14.140625" style="4" hidden="1" customWidth="1"/>
    <col min="15" max="15" width="12.85546875" style="4" hidden="1" customWidth="1"/>
    <col min="16" max="27" width="8.85546875" style="4" hidden="1" customWidth="1"/>
    <col min="28" max="28" width="27.85546875" style="4" hidden="1" customWidth="1"/>
    <col min="29" max="38" width="8.85546875" style="4" hidden="1" customWidth="1"/>
    <col min="39" max="52" width="8.85546875" style="4" customWidth="1"/>
    <col min="53" max="16384" width="9.140625" style="4"/>
  </cols>
  <sheetData>
    <row r="1" spans="1:17" ht="15.6" x14ac:dyDescent="0.35">
      <c r="A1" s="15" t="s">
        <v>204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120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240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12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35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16.590060000000001</v>
      </c>
    </row>
    <row r="20" spans="1:17" ht="18" x14ac:dyDescent="0.35">
      <c r="A20" s="45"/>
      <c r="B20" s="46" t="s">
        <v>425</v>
      </c>
      <c r="C20" s="56">
        <v>71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16.590060000000001</v>
      </c>
    </row>
    <row r="21" spans="1:17" x14ac:dyDescent="0.25">
      <c r="A21" s="45"/>
      <c r="B21" s="46" t="s">
        <v>426</v>
      </c>
      <c r="C21" s="53">
        <f>2*C18/12+C17*3</f>
        <v>12.5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1.1279999999999999</v>
      </c>
      <c r="M21" s="4" t="s">
        <v>20</v>
      </c>
      <c r="N21" s="4" t="s">
        <v>37</v>
      </c>
      <c r="P21" s="4">
        <f>+IF(C24&lt;9,(C24/8),IF(C24=9,1.128,IF(C24=10,1.27,IF(C24=11,1.41,IF(C24=14,1.693,0)))))</f>
        <v>1.1279999999999999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2*C18/12+C17*3</f>
        <v>12.5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0.99929858399999982</v>
      </c>
      <c r="M22" s="4" t="s">
        <v>35</v>
      </c>
      <c r="N22" s="4" t="s">
        <v>38</v>
      </c>
      <c r="P22" s="4">
        <f>3.1415*P21^2/4</f>
        <v>0.99929858399999982</v>
      </c>
      <c r="Q22" s="4" t="s">
        <v>35</v>
      </c>
    </row>
    <row r="23" spans="1:17" x14ac:dyDescent="0.25">
      <c r="A23" s="45"/>
      <c r="B23" s="46" t="s">
        <v>428</v>
      </c>
      <c r="C23" s="47">
        <v>9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9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60.308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61.436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61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13.540749682261449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12</v>
      </c>
    </row>
    <row r="30" spans="1:17" x14ac:dyDescent="0.25">
      <c r="A30" s="45" t="s">
        <v>237</v>
      </c>
      <c r="B30" s="49"/>
      <c r="C30" s="49"/>
      <c r="D30" s="49"/>
      <c r="E30" s="49"/>
      <c r="F30" s="62" t="str">
        <f>+IF(C62&gt;C63,"NG; select smaller bar size","OK")</f>
        <v>OK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E31" s="49"/>
      <c r="F31" s="62" t="str">
        <f>+IF(C80&gt;C81,"NG; select smaller bar size","OK")</f>
        <v>OK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61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30.5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73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applicable",IF(B139&lt;1,"OK","NG"))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13989.099500000002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24.49969369578514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3064.8581421336971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2605.1294208136424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342.72865282986112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1.6*16*C13-1.6*C21*C22*C20/12*0.15</f>
        <v>5922.125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0.13155916557988853</v>
      </c>
    </row>
    <row r="41" spans="1:25" x14ac:dyDescent="0.25">
      <c r="A41" s="45"/>
      <c r="B41" s="46" t="s">
        <v>433</v>
      </c>
      <c r="C41" s="58">
        <f>+(C40/4)^0.5</f>
        <v>38.477672096944744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39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1.6*C13*(4*(0.5*C17*12+C11-C42/4))+1.6*C13*(4*(1.5*C17*12+C11-C42/4))-1.6*(C22/2-C42/12/4)*C21*C20/12*0.15*(C22/2-C42/12/4)*12/2</f>
        <v>86707.177734375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6936.57421875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60.308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2.2170552644531689</v>
      </c>
      <c r="D48" s="48" t="s">
        <v>435</v>
      </c>
      <c r="E48" s="49"/>
      <c r="F48" s="49"/>
      <c r="G48" s="49"/>
      <c r="H48" s="49"/>
      <c r="I48" s="50"/>
    </row>
    <row r="49" spans="1:18" ht="18" x14ac:dyDescent="0.35">
      <c r="A49" s="45"/>
      <c r="B49" s="46" t="s">
        <v>39</v>
      </c>
      <c r="C49" s="58">
        <f>+C48*C21</f>
        <v>27.71319080566461</v>
      </c>
      <c r="D49" s="48" t="s">
        <v>436</v>
      </c>
      <c r="E49" s="49"/>
      <c r="F49" s="49"/>
      <c r="G49" s="49"/>
      <c r="H49" s="49"/>
      <c r="I49" s="50"/>
    </row>
    <row r="50" spans="1:18" ht="18" x14ac:dyDescent="0.35">
      <c r="A50" s="45"/>
      <c r="B50" s="46" t="s">
        <v>43</v>
      </c>
      <c r="C50" s="58">
        <f>+C49*4/3</f>
        <v>36.95092107421948</v>
      </c>
      <c r="D50" s="48" t="s">
        <v>436</v>
      </c>
      <c r="E50" s="49"/>
      <c r="F50" s="49"/>
      <c r="G50" s="49"/>
      <c r="H50" s="49"/>
      <c r="I50" s="50"/>
    </row>
    <row r="51" spans="1:18" ht="18.75" x14ac:dyDescent="0.35">
      <c r="A51" s="45"/>
      <c r="B51" s="46" t="s">
        <v>437</v>
      </c>
      <c r="C51" s="58">
        <f>3*(C9*1000)^0.5*C21*12*C47/C10/1000</f>
        <v>24.774038998516168</v>
      </c>
      <c r="D51" s="48" t="s">
        <v>436</v>
      </c>
      <c r="E51" s="49"/>
      <c r="F51" s="49"/>
      <c r="G51" s="49"/>
      <c r="H51" s="49"/>
      <c r="I51" s="50"/>
    </row>
    <row r="52" spans="1:18" ht="18" x14ac:dyDescent="0.35">
      <c r="A52" s="45"/>
      <c r="B52" s="46" t="s">
        <v>438</v>
      </c>
      <c r="C52" s="58">
        <f>200*C21*12*C47/C10/1000</f>
        <v>30.154</v>
      </c>
      <c r="D52" s="48" t="s">
        <v>436</v>
      </c>
      <c r="E52" s="49"/>
      <c r="F52" s="49"/>
      <c r="G52" s="49"/>
      <c r="H52" s="49"/>
      <c r="I52" s="50"/>
    </row>
    <row r="53" spans="1:18" ht="18" x14ac:dyDescent="0.35">
      <c r="A53" s="45"/>
      <c r="B53" s="46" t="s">
        <v>44</v>
      </c>
      <c r="C53" s="58">
        <f>+MAX(C51:C52)</f>
        <v>30.154</v>
      </c>
      <c r="D53" s="48" t="s">
        <v>436</v>
      </c>
      <c r="E53" s="49"/>
      <c r="F53" s="49"/>
      <c r="G53" s="49"/>
      <c r="H53" s="49"/>
      <c r="I53" s="50"/>
    </row>
    <row r="54" spans="1:18" ht="18" x14ac:dyDescent="0.35">
      <c r="A54" s="45"/>
      <c r="B54" s="46" t="s">
        <v>439</v>
      </c>
      <c r="C54" s="58">
        <f>+IF(C10=60,0.0018*C21*12*C20,0.002*C21*12*C20)</f>
        <v>19.170000000000002</v>
      </c>
      <c r="D54" s="48" t="s">
        <v>436</v>
      </c>
      <c r="E54" s="49"/>
      <c r="F54" s="49"/>
      <c r="G54" s="49"/>
      <c r="H54" s="49"/>
      <c r="I54" s="50"/>
    </row>
    <row r="55" spans="1:18" ht="18" x14ac:dyDescent="0.35">
      <c r="A55" s="45"/>
      <c r="B55" s="46" t="s">
        <v>41</v>
      </c>
      <c r="C55" s="74">
        <f>+IF(C49&gt;C53,C49,IF(C50&gt;C53,C53,IF(C50&gt;C54,C50,C54)))</f>
        <v>30.154</v>
      </c>
      <c r="D55" s="48" t="s">
        <v>436</v>
      </c>
      <c r="E55" s="49"/>
      <c r="F55" s="49"/>
      <c r="G55" s="49"/>
      <c r="H55" s="49"/>
      <c r="I55" s="50"/>
    </row>
    <row r="56" spans="1:18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8" x14ac:dyDescent="0.25">
      <c r="A57" s="109"/>
      <c r="B57" s="76" t="s">
        <v>45</v>
      </c>
      <c r="C57" s="57">
        <f>+C21/C22</f>
        <v>1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  <c r="P57" s="111"/>
      <c r="Q57" s="111"/>
      <c r="R57" s="111"/>
    </row>
    <row r="58" spans="1:18" ht="18" x14ac:dyDescent="0.35">
      <c r="A58" s="109"/>
      <c r="B58" s="76" t="s">
        <v>47</v>
      </c>
      <c r="C58" s="55">
        <f>2/(C57+1)</f>
        <v>1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4.9266206896551727</v>
      </c>
      <c r="N58" s="111" t="s">
        <v>0</v>
      </c>
      <c r="O58" s="111"/>
      <c r="P58" s="111"/>
      <c r="Q58" s="111"/>
      <c r="R58" s="111"/>
    </row>
    <row r="59" spans="1:18" ht="18" x14ac:dyDescent="0.35">
      <c r="A59" s="45"/>
      <c r="B59" s="46" t="s">
        <v>46</v>
      </c>
      <c r="C59" s="58">
        <f>+C49*C57*C58</f>
        <v>27.71319080566461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3.5640000000000001</v>
      </c>
      <c r="N59" s="111" t="s">
        <v>0</v>
      </c>
      <c r="O59" s="111"/>
      <c r="P59" s="111"/>
      <c r="Q59" s="111"/>
      <c r="R59" s="111"/>
    </row>
    <row r="60" spans="1:18" ht="18" x14ac:dyDescent="0.35">
      <c r="A60" s="45"/>
      <c r="B60" s="46" t="s">
        <v>41</v>
      </c>
      <c r="C60" s="58">
        <f>+MAX(C59,C55)</f>
        <v>30.154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2.4633103448275864</v>
      </c>
      <c r="N60" s="111" t="s">
        <v>0</v>
      </c>
      <c r="O60" s="111"/>
      <c r="P60" s="111"/>
      <c r="Q60" s="111"/>
      <c r="R60" s="111"/>
    </row>
    <row r="61" spans="1:18" ht="18" x14ac:dyDescent="0.35">
      <c r="A61" s="45"/>
      <c r="B61" s="46" t="s">
        <v>210</v>
      </c>
      <c r="C61" s="77">
        <f>+M60</f>
        <v>2.4633103448275864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  <c r="P61" s="111"/>
      <c r="Q61" s="111"/>
      <c r="R61" s="111"/>
    </row>
    <row r="62" spans="1:18" ht="18" x14ac:dyDescent="0.35">
      <c r="A62" s="45"/>
      <c r="B62" s="46" t="s">
        <v>211</v>
      </c>
      <c r="C62" s="58">
        <f>+M66</f>
        <v>42.437613681444105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  <c r="P62" s="111"/>
      <c r="Q62" s="111"/>
      <c r="R62" s="111"/>
    </row>
    <row r="63" spans="1:18" ht="18" x14ac:dyDescent="0.35">
      <c r="A63" s="45"/>
      <c r="B63" s="46" t="s">
        <v>214</v>
      </c>
      <c r="C63" s="58">
        <f>+M67</f>
        <v>52.5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  <c r="P63" s="111"/>
      <c r="Q63" s="111"/>
      <c r="R63" s="111"/>
    </row>
    <row r="64" spans="1:18" x14ac:dyDescent="0.25">
      <c r="A64" s="45"/>
      <c r="B64" s="46" t="s">
        <v>441</v>
      </c>
      <c r="C64" s="78">
        <f>+C60/L22</f>
        <v>30.175165343774776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  <c r="P64" s="111"/>
      <c r="Q64" s="111"/>
      <c r="R64" s="111"/>
    </row>
    <row r="65" spans="1:18" x14ac:dyDescent="0.25">
      <c r="A65" s="45"/>
      <c r="B65" s="46" t="s">
        <v>442</v>
      </c>
      <c r="C65" s="56">
        <v>30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2.1837857666911229</v>
      </c>
      <c r="N65" s="111"/>
      <c r="O65" s="111"/>
      <c r="P65" s="111"/>
      <c r="Q65" s="111"/>
      <c r="R65" s="111"/>
    </row>
    <row r="66" spans="1:18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42.437613681444105</v>
      </c>
      <c r="N66" s="111" t="s">
        <v>0</v>
      </c>
      <c r="O66" s="111"/>
      <c r="P66" s="111"/>
      <c r="Q66" s="111"/>
      <c r="R66" s="111"/>
    </row>
    <row r="67" spans="1:18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52.5</v>
      </c>
      <c r="N67" s="111" t="s">
        <v>0</v>
      </c>
      <c r="O67" s="111" t="str">
        <f>+IF(M67&gt;M66,"OK; required development length available","NG")</f>
        <v>OK; required development length available</v>
      </c>
      <c r="P67" s="111"/>
      <c r="Q67" s="111"/>
      <c r="R67" s="111"/>
    </row>
    <row r="68" spans="1:18" ht="18" x14ac:dyDescent="0.35">
      <c r="A68" s="45"/>
      <c r="B68" s="46" t="s">
        <v>26</v>
      </c>
      <c r="C68" s="69">
        <f>1.6*C13*(4*(0.5*C17*12+C11-C42/4))+1.6*C13*(4*(1.5*C17*12+C11-C42/4))-1.6*(C21/2-C42/12/4)*C22*C20/12*0.15*(C21/2-C42/12/4)*12/2</f>
        <v>86707.177734375</v>
      </c>
      <c r="D68" s="48" t="s">
        <v>27</v>
      </c>
      <c r="E68" s="49" t="s">
        <v>118</v>
      </c>
      <c r="F68" s="49"/>
      <c r="G68" s="49"/>
      <c r="H68" s="49"/>
      <c r="I68" s="50"/>
      <c r="K68" s="111"/>
      <c r="L68" s="111"/>
      <c r="M68" s="111"/>
      <c r="N68" s="111"/>
      <c r="O68" s="111"/>
      <c r="P68" s="111"/>
      <c r="Q68" s="111"/>
      <c r="R68" s="111"/>
    </row>
    <row r="69" spans="1:18" ht="18" x14ac:dyDescent="0.35">
      <c r="A69" s="45"/>
      <c r="B69" s="46" t="s">
        <v>26</v>
      </c>
      <c r="C69" s="79">
        <f>+C68/C22</f>
        <v>6936.57421875</v>
      </c>
      <c r="D69" s="48" t="s">
        <v>28</v>
      </c>
      <c r="E69" s="49" t="s">
        <v>29</v>
      </c>
      <c r="F69" s="49"/>
      <c r="G69" s="49"/>
      <c r="H69" s="49"/>
      <c r="I69" s="50"/>
      <c r="K69" s="111"/>
      <c r="L69" s="111"/>
      <c r="M69" s="111"/>
      <c r="N69" s="111"/>
      <c r="O69" s="111"/>
      <c r="P69" s="111"/>
      <c r="Q69" s="111"/>
      <c r="R69" s="111"/>
    </row>
    <row r="70" spans="1:18" x14ac:dyDescent="0.25">
      <c r="A70" s="45"/>
      <c r="B70" s="46" t="s">
        <v>1</v>
      </c>
      <c r="C70" s="55">
        <f>+C20-C14-C15-P21/2</f>
        <v>61.436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  <c r="P70" s="111"/>
      <c r="Q70" s="111"/>
      <c r="R70" s="111"/>
    </row>
    <row r="71" spans="1:18" ht="18" x14ac:dyDescent="0.35">
      <c r="A71" s="45"/>
      <c r="B71" s="46" t="s">
        <v>40</v>
      </c>
      <c r="C71" s="58">
        <f>IF(C9=3,0.51*C70-(0.26*C70^2-0.0189*C69)^0.5,0.68*C70-(0.462*C70^2-0.0252*C69)^0.5)</f>
        <v>2.1735175636887654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4.9266206896551727</v>
      </c>
      <c r="N71" s="111" t="s">
        <v>0</v>
      </c>
      <c r="O71" s="111"/>
      <c r="P71" s="111"/>
      <c r="Q71" s="111"/>
      <c r="R71" s="111"/>
    </row>
    <row r="72" spans="1:18" ht="18" x14ac:dyDescent="0.35">
      <c r="A72" s="45"/>
      <c r="B72" s="46" t="s">
        <v>39</v>
      </c>
      <c r="C72" s="58">
        <f>+C71*C22</f>
        <v>27.168969546109565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3.5640000000000001</v>
      </c>
      <c r="N72" s="111" t="s">
        <v>0</v>
      </c>
      <c r="O72" s="111"/>
      <c r="P72" s="111"/>
      <c r="Q72" s="111"/>
      <c r="R72" s="111"/>
    </row>
    <row r="73" spans="1:18" ht="18" x14ac:dyDescent="0.35">
      <c r="A73" s="45"/>
      <c r="B73" s="46" t="s">
        <v>43</v>
      </c>
      <c r="C73" s="58">
        <f>+C72*4/3</f>
        <v>36.225292728146087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2.4633103448275864</v>
      </c>
      <c r="N73" s="111" t="s">
        <v>0</v>
      </c>
      <c r="O73" s="111"/>
      <c r="P73" s="111"/>
      <c r="Q73" s="111"/>
      <c r="R73" s="111"/>
    </row>
    <row r="74" spans="1:18" ht="18.75" x14ac:dyDescent="0.35">
      <c r="A74" s="45"/>
      <c r="B74" s="46" t="s">
        <v>437</v>
      </c>
      <c r="C74" s="58">
        <f>3*(C9*1000)^0.5*C22*12*C70/C10/1000</f>
        <v>25.23741228216554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  <c r="P74" s="111"/>
      <c r="Q74" s="111"/>
      <c r="R74" s="111"/>
    </row>
    <row r="75" spans="1:18" ht="18" x14ac:dyDescent="0.35">
      <c r="A75" s="45"/>
      <c r="B75" s="46" t="s">
        <v>438</v>
      </c>
      <c r="C75" s="58">
        <f>200*C22*12*C70/C10/1000</f>
        <v>30.718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  <c r="P75" s="111"/>
      <c r="Q75" s="111"/>
      <c r="R75" s="111"/>
    </row>
    <row r="76" spans="1:18" ht="18" x14ac:dyDescent="0.35">
      <c r="A76" s="45"/>
      <c r="B76" s="46" t="s">
        <v>44</v>
      </c>
      <c r="C76" s="58">
        <f>+MAX(C74:C75)</f>
        <v>30.718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  <c r="P76" s="111"/>
      <c r="Q76" s="111"/>
      <c r="R76" s="111"/>
    </row>
    <row r="77" spans="1:18" ht="18" x14ac:dyDescent="0.35">
      <c r="A77" s="45"/>
      <c r="B77" s="46" t="s">
        <v>439</v>
      </c>
      <c r="C77" s="58">
        <f>+IF(C10=60,0.0018*C22*12*C20,0.002*C22*12*C20)</f>
        <v>19.170000000000002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  <c r="P77" s="111"/>
      <c r="Q77" s="111"/>
      <c r="R77" s="111"/>
    </row>
    <row r="78" spans="1:18" ht="18" x14ac:dyDescent="0.35">
      <c r="A78" s="45"/>
      <c r="B78" s="46" t="s">
        <v>41</v>
      </c>
      <c r="C78" s="58">
        <f>+IF(C72&gt;C76,C72,IF(C73&gt;C76,C76,IF(C73&gt;C77,C73,C77)))</f>
        <v>30.718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2.1837857666911229</v>
      </c>
      <c r="N78" s="111"/>
      <c r="O78" s="111"/>
      <c r="P78" s="111"/>
      <c r="Q78" s="111"/>
      <c r="R78" s="111"/>
    </row>
    <row r="79" spans="1:18" ht="18" x14ac:dyDescent="0.35">
      <c r="A79" s="45"/>
      <c r="B79" s="112" t="s">
        <v>210</v>
      </c>
      <c r="C79" s="58">
        <f>+M73</f>
        <v>2.4633103448275864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42.437613681444105</v>
      </c>
      <c r="N79" s="111" t="s">
        <v>0</v>
      </c>
      <c r="O79" s="111"/>
      <c r="P79" s="111"/>
      <c r="Q79" s="111"/>
      <c r="R79" s="111"/>
    </row>
    <row r="80" spans="1:18" ht="18" x14ac:dyDescent="0.35">
      <c r="A80" s="45"/>
      <c r="B80" s="112" t="s">
        <v>211</v>
      </c>
      <c r="C80" s="58">
        <f>+M79</f>
        <v>42.437613681444105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52.5</v>
      </c>
      <c r="N80" s="111" t="s">
        <v>0</v>
      </c>
      <c r="O80" s="111" t="str">
        <f>+IF(M80&gt;M79,"OK; required development length available","NG")</f>
        <v>OK; required development length available</v>
      </c>
      <c r="P80" s="111"/>
      <c r="Q80" s="111"/>
      <c r="R80" s="111"/>
    </row>
    <row r="81" spans="1:17" ht="18" x14ac:dyDescent="0.35">
      <c r="A81" s="45"/>
      <c r="B81" s="112" t="s">
        <v>214</v>
      </c>
      <c r="C81" s="58">
        <f>+M80</f>
        <v>52.5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30.739561220072744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30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61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50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30.5</v>
      </c>
      <c r="C87" s="48" t="s">
        <v>0</v>
      </c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+C17/2*12+C11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+IF(M86&gt;O90,0,IF(M86&gt;O88,12,16))</f>
        <v>12</v>
      </c>
      <c r="G88" s="49"/>
      <c r="H88" s="49"/>
      <c r="I88" s="50"/>
      <c r="J88" s="4" t="s">
        <v>57</v>
      </c>
      <c r="K88" s="64"/>
      <c r="L88" s="64"/>
      <c r="M88" s="64"/>
      <c r="N88" s="64"/>
      <c r="O88" s="64">
        <f>+C17/2*12+C11</f>
        <v>21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222</v>
      </c>
      <c r="K89" s="64"/>
      <c r="L89" s="64"/>
      <c r="M89" s="64"/>
      <c r="N89" s="64"/>
      <c r="O89" s="64">
        <f>1.5*C17*12+C11</f>
        <v>57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400</v>
      </c>
      <c r="C90" s="48" t="s">
        <v>0</v>
      </c>
      <c r="D90" s="49"/>
      <c r="E90" s="49"/>
      <c r="F90" s="49"/>
      <c r="G90" s="49"/>
      <c r="H90" s="49"/>
      <c r="I90" s="50"/>
      <c r="J90" s="4" t="s">
        <v>223</v>
      </c>
      <c r="K90" s="64"/>
      <c r="L90" s="64"/>
      <c r="M90" s="64"/>
      <c r="N90" s="64"/>
      <c r="O90" s="64">
        <f>1.5*C17*12+C11</f>
        <v>57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5345.772161250422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219.08902300206645</v>
      </c>
      <c r="P91" s="4" t="s">
        <v>5</v>
      </c>
    </row>
    <row r="92" spans="1:17" ht="18" x14ac:dyDescent="0.35">
      <c r="A92" s="68" t="s">
        <v>12</v>
      </c>
      <c r="B92" s="79">
        <f>+B91*0.85</f>
        <v>4543.9063370628583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4484.7361111111122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0.98697811496044319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61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80.5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+IF(M98&gt;O100,0,IF(M98&gt;O99,4,8))</f>
        <v>0</v>
      </c>
      <c r="G99" s="49"/>
      <c r="H99" s="49"/>
      <c r="I99" s="50"/>
      <c r="J99" s="4" t="s">
        <v>224</v>
      </c>
      <c r="K99" s="64"/>
      <c r="L99" s="64"/>
      <c r="M99" s="64"/>
      <c r="N99" s="64"/>
      <c r="O99" s="64">
        <f>0.5*C17*12+C11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60</v>
      </c>
      <c r="K100" s="64"/>
      <c r="L100" s="64"/>
      <c r="M100" s="64"/>
      <c r="N100" s="64"/>
      <c r="O100" s="64">
        <f>1.5*C17*12+C11</f>
        <v>57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9150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109.54451150103323</v>
      </c>
      <c r="P101" s="4" t="s">
        <v>5</v>
      </c>
    </row>
    <row r="102" spans="1:17" ht="18.75" x14ac:dyDescent="0.35">
      <c r="A102" s="68" t="s">
        <v>7</v>
      </c>
      <c r="B102" s="79">
        <f>+B100*B101/1000</f>
        <v>1002.3322802344541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851.98243819928598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8.1354166666666625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9.5488079353623009E-3</v>
      </c>
      <c r="C105" s="49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61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80.5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+IF(M109&gt;O111,0,IF(M109&gt;O110,4,8))</f>
        <v>0</v>
      </c>
      <c r="G110" s="49"/>
      <c r="H110" s="49"/>
      <c r="I110" s="50"/>
      <c r="J110" s="4" t="s">
        <v>225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81</v>
      </c>
      <c r="K111" s="64"/>
      <c r="L111" s="64"/>
      <c r="M111" s="64"/>
      <c r="N111" s="64"/>
      <c r="O111" s="64">
        <f>1.5*C17*12+C11</f>
        <v>57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+C21*12*B109</f>
        <v>9150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9" ht="18.75" x14ac:dyDescent="0.35">
      <c r="A113" s="68" t="s">
        <v>7</v>
      </c>
      <c r="B113" s="79">
        <f>+B111*B112/1000</f>
        <v>1002.3322802344541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9" ht="18" x14ac:dyDescent="0.35">
      <c r="A114" s="68" t="s">
        <v>12</v>
      </c>
      <c r="B114" s="79">
        <f>+B113*0.85</f>
        <v>851.98243819928598</v>
      </c>
      <c r="C114" s="48" t="s">
        <v>18</v>
      </c>
      <c r="D114" s="49"/>
      <c r="E114" s="49"/>
      <c r="F114" s="49"/>
      <c r="G114" s="49"/>
      <c r="H114" s="49"/>
      <c r="I114" s="50"/>
    </row>
    <row r="115" spans="1:9" ht="18" x14ac:dyDescent="0.35">
      <c r="A115" s="68" t="s">
        <v>58</v>
      </c>
      <c r="B115" s="79">
        <f>+E110*C13*1.6-1.6*0.15*C21*C22*C20/12*((C22/2-M109/12)/C22)</f>
        <v>8.1354166666666625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9" ht="18" x14ac:dyDescent="0.35">
      <c r="A116" s="68" t="s">
        <v>14</v>
      </c>
      <c r="B116" s="74">
        <f>+B115/B114</f>
        <v>9.5488079353623009E-3</v>
      </c>
      <c r="C116" s="48"/>
      <c r="D116" s="49"/>
      <c r="E116" s="49"/>
      <c r="F116" s="49"/>
      <c r="G116" s="49"/>
      <c r="H116" s="49"/>
      <c r="I116" s="50"/>
    </row>
    <row r="117" spans="1:9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9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9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9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9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9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9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9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9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9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9" x14ac:dyDescent="0.25">
      <c r="A127" s="68" t="s">
        <v>1</v>
      </c>
      <c r="B127" s="53">
        <f>+B86</f>
        <v>61</v>
      </c>
      <c r="C127" s="48" t="s">
        <v>0</v>
      </c>
      <c r="F127" s="49"/>
      <c r="G127" s="49"/>
      <c r="H127" s="49"/>
      <c r="I127" s="50"/>
    </row>
    <row r="128" spans="1:9" x14ac:dyDescent="0.25">
      <c r="A128" s="68" t="s">
        <v>54</v>
      </c>
      <c r="B128" s="54">
        <f>+B127/2</f>
        <v>30.5</v>
      </c>
      <c r="C128" s="48" t="s">
        <v>0</v>
      </c>
      <c r="F128" s="49"/>
      <c r="G128" s="49"/>
      <c r="H128" s="49"/>
      <c r="I128" s="50"/>
    </row>
    <row r="129" spans="1:16" x14ac:dyDescent="0.25">
      <c r="A129" s="68"/>
      <c r="B129" s="49"/>
      <c r="C129" s="48"/>
      <c r="D129" s="46" t="s">
        <v>453</v>
      </c>
      <c r="E129" s="83">
        <v>16</v>
      </c>
      <c r="G129" s="49"/>
      <c r="H129" s="49"/>
      <c r="I129" s="50"/>
    </row>
    <row r="130" spans="1:16" ht="18" x14ac:dyDescent="0.35">
      <c r="A130" s="68" t="s">
        <v>454</v>
      </c>
      <c r="B130" s="57">
        <f>+C17*12/2-C42/2+C11</f>
        <v>1.5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</row>
    <row r="131" spans="1:16" ht="18" x14ac:dyDescent="0.35">
      <c r="A131" s="68" t="s">
        <v>58</v>
      </c>
      <c r="B131" s="79">
        <f>+C13*E129*1.6-1.6*0.15*C21*C22*C20/12+1.6*0.15*(C42)/12*(C42)/12*C20/12</f>
        <v>5937.1237499999997</v>
      </c>
      <c r="C131" s="48" t="s">
        <v>18</v>
      </c>
      <c r="D131" s="49"/>
      <c r="E131" s="49"/>
      <c r="F131" s="49"/>
      <c r="G131" s="49"/>
      <c r="H131" s="49"/>
      <c r="I131" s="50"/>
    </row>
    <row r="132" spans="1:16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</row>
    <row r="133" spans="1:16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</row>
    <row r="134" spans="1:16" ht="18" x14ac:dyDescent="0.35">
      <c r="A134" s="68" t="s">
        <v>11</v>
      </c>
      <c r="B134" s="58">
        <f>4*(B127+C42)</f>
        <v>400</v>
      </c>
      <c r="C134" s="48" t="s">
        <v>0</v>
      </c>
      <c r="D134" s="49"/>
      <c r="E134" s="49"/>
      <c r="F134" s="49"/>
      <c r="G134" s="49"/>
      <c r="H134" s="49"/>
      <c r="I134" s="50"/>
    </row>
    <row r="135" spans="1:16" ht="18" x14ac:dyDescent="0.35">
      <c r="A135" s="68" t="s">
        <v>2</v>
      </c>
      <c r="B135" s="58">
        <f>4*C42</f>
        <v>156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</row>
    <row r="136" spans="1:16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</row>
    <row r="137" spans="1:16" ht="18.75" x14ac:dyDescent="0.35">
      <c r="A137" s="68" t="s">
        <v>7</v>
      </c>
      <c r="B137" s="79">
        <f>+B136*(C9*1000)^0.5*B135*B127/1000</f>
        <v>16678.809143101313</v>
      </c>
      <c r="C137" s="48" t="s">
        <v>18</v>
      </c>
      <c r="D137" s="49" t="s">
        <v>10</v>
      </c>
      <c r="E137" s="49"/>
      <c r="F137" s="49"/>
      <c r="G137" s="49"/>
      <c r="H137" s="49"/>
      <c r="I137" s="50"/>
    </row>
    <row r="138" spans="1:16" ht="18" x14ac:dyDescent="0.35">
      <c r="A138" s="68" t="s">
        <v>12</v>
      </c>
      <c r="B138" s="79">
        <f>+B137*0.85</f>
        <v>14176.987771636115</v>
      </c>
      <c r="C138" s="48" t="s">
        <v>18</v>
      </c>
      <c r="D138" s="49"/>
      <c r="E138" s="49"/>
      <c r="F138" s="49"/>
      <c r="G138" s="49"/>
      <c r="H138" s="49"/>
      <c r="I138" s="50"/>
    </row>
    <row r="139" spans="1:16" ht="18" x14ac:dyDescent="0.35">
      <c r="A139" s="68" t="s">
        <v>14</v>
      </c>
      <c r="B139" s="74">
        <f>+B131/B138</f>
        <v>0.41878598230001984</v>
      </c>
      <c r="C139" s="48"/>
      <c r="D139" s="49"/>
      <c r="E139" s="49"/>
      <c r="F139" s="49"/>
      <c r="G139" s="49"/>
      <c r="H139" s="49"/>
      <c r="I139" s="50"/>
    </row>
    <row r="140" spans="1:16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16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16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16" x14ac:dyDescent="0.25">
      <c r="A143" s="68" t="s">
        <v>1</v>
      </c>
      <c r="B143" s="53">
        <f>+C20-C14-C15-P21/2</f>
        <v>61.436</v>
      </c>
      <c r="C143" s="48" t="s">
        <v>0</v>
      </c>
      <c r="D143" s="49"/>
      <c r="E143" s="49"/>
      <c r="F143" s="49"/>
      <c r="G143" s="49"/>
      <c r="H143" s="49"/>
      <c r="I143" s="50"/>
    </row>
    <row r="144" spans="1:16" x14ac:dyDescent="0.25">
      <c r="A144" s="68" t="s">
        <v>64</v>
      </c>
      <c r="B144" s="58">
        <f>+C17*12/2-C42/2+C11</f>
        <v>1.5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2.4415652060681033E-2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8*1.6*C13-1.6*0.15*C21*C22*C20/12*((C21/2-C42/2/12)/C21)</f>
        <v>2989.90625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1.6*C13*(4*B144)+1.6*C13*(4*(B144+C17*12))-1.6*0.15*C21*C22*C20/12*((C21/2-C42/2/12)/C21)*(C21/2-C42/2/12)*12/2</f>
        <v>57625.8984375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3.1875924776118594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0.31371638847297029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4290.3600879681417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0.69688934930773616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60.308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+C17*12/2-C42/2+C11</f>
        <v>1.5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2.4872322079989389E-2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8*1.6*C13-1.6*0.15*C21*C22*C20/12*((C22/2-C42/2/12)/C22)</f>
        <v>2989.90625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1.6*C13*(4*B157)+1.6*C13*(4*(B157+C17*12))-1.6*0.15*C21*C22*C20/12*((C22/2-C42/2/12)/C22)*(C22/2-C42/2/12)*12/2</f>
        <v>57625.8984375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3.1290664616807087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0.31958413547498515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4211.5866297477487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0.70992395808300857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61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34.239969135802468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30.5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73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13989.099500000002</v>
      </c>
      <c r="U171" s="4" t="s">
        <v>35</v>
      </c>
    </row>
    <row r="172" spans="1:32" ht="18.75" x14ac:dyDescent="0.35">
      <c r="A172" s="45"/>
      <c r="B172" s="53">
        <f>+C65</f>
        <v>30</v>
      </c>
      <c r="C172" s="48" t="s">
        <v>71</v>
      </c>
      <c r="D172" s="83" t="str">
        <f>"#"&amp;+C23</f>
        <v>#9</v>
      </c>
      <c r="E172" s="49" t="s">
        <v>72</v>
      </c>
      <c r="F172" s="49" t="s">
        <v>73</v>
      </c>
      <c r="G172" s="57">
        <f>+C22-0.5</f>
        <v>12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24.49969369578514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1.3825050000000001</v>
      </c>
      <c r="H173" s="48" t="s">
        <v>74</v>
      </c>
      <c r="I173" s="50"/>
      <c r="Q173" s="4" t="s">
        <v>7</v>
      </c>
      <c r="R173" s="4">
        <f>+R172*T171/1000</f>
        <v>3064.8581421336971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1224.1407653999997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2605.1294208136424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342.72865282986112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30</v>
      </c>
      <c r="C176" s="48" t="s">
        <v>71</v>
      </c>
      <c r="D176" s="83" t="str">
        <f>"#"&amp;+C24</f>
        <v>#9</v>
      </c>
      <c r="E176" s="49" t="s">
        <v>72</v>
      </c>
      <c r="F176" s="49" t="s">
        <v>73</v>
      </c>
      <c r="G176" s="57">
        <f>+C21-0.5</f>
        <v>12</v>
      </c>
      <c r="H176" s="48" t="s">
        <v>74</v>
      </c>
      <c r="I176" s="50"/>
      <c r="Q176" s="4" t="s">
        <v>14</v>
      </c>
      <c r="R176" s="4">
        <f>+R175/R174</f>
        <v>0.13155916557988853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1.3825050000000001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1224.1407653999997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61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2448.2815307999995</v>
      </c>
      <c r="D180" s="48" t="s">
        <v>78</v>
      </c>
      <c r="E180" s="49" t="s">
        <v>79</v>
      </c>
      <c r="F180" s="88">
        <f>+C180/2000</f>
        <v>1.2241407653999998</v>
      </c>
      <c r="G180" s="48" t="s">
        <v>19</v>
      </c>
      <c r="H180" s="49"/>
      <c r="I180" s="50"/>
      <c r="Q180" s="4" t="s">
        <v>54</v>
      </c>
      <c r="T180" s="4">
        <f>+T179/2</f>
        <v>30.5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229.32950000000002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18381.099500000004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38.126862477941593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4027.0971311587728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3423.0325614849567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700.8136528298611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0.2047347316280973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61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30.5</v>
      </c>
      <c r="U192" s="4" t="s">
        <v>0</v>
      </c>
      <c r="W192" s="64"/>
    </row>
    <row r="193" spans="1:32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99.332375000000013</v>
      </c>
      <c r="U193" s="4" t="s">
        <v>0</v>
      </c>
      <c r="V193" s="64"/>
      <c r="W193" s="64"/>
    </row>
    <row r="194" spans="1:32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6059.274875000001</v>
      </c>
      <c r="U194" s="4" t="s">
        <v>35</v>
      </c>
    </row>
    <row r="195" spans="1:32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58.458534590598497</v>
      </c>
      <c r="AF195" s="4" t="s">
        <v>5</v>
      </c>
    </row>
    <row r="196" spans="1:32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1327.5206124647186</v>
      </c>
      <c r="S196" s="4" t="s">
        <v>8</v>
      </c>
      <c r="T196" s="4" t="s">
        <v>87</v>
      </c>
    </row>
    <row r="197" spans="1:32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1128.3925205950109</v>
      </c>
      <c r="S197" s="4" t="s">
        <v>8</v>
      </c>
    </row>
    <row r="198" spans="1:32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354.21632987413193</v>
      </c>
      <c r="S198" s="4" t="s">
        <v>8</v>
      </c>
      <c r="T198" s="4" t="s">
        <v>350</v>
      </c>
    </row>
    <row r="199" spans="1:32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0.31391233405849828</v>
      </c>
      <c r="T199" s="4" t="s">
        <v>146</v>
      </c>
      <c r="V199" s="4">
        <f>+(C18*C18+C18*T170+3.1415*T170^2/4/4)/144</f>
        <v>20.974415581597224</v>
      </c>
      <c r="W199" s="4" t="s">
        <v>147</v>
      </c>
    </row>
    <row r="200" spans="1:32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32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32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61</v>
      </c>
      <c r="U202" s="4" t="s">
        <v>0</v>
      </c>
      <c r="V202" s="4" t="s">
        <v>53</v>
      </c>
      <c r="W202" s="64"/>
    </row>
    <row r="203" spans="1:32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32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97.3964</v>
      </c>
      <c r="U204" s="4" t="s">
        <v>0</v>
      </c>
      <c r="V204" s="64"/>
      <c r="W204" s="64"/>
    </row>
    <row r="205" spans="1:32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5941.1804000000002</v>
      </c>
      <c r="U205" s="4" t="s">
        <v>35</v>
      </c>
    </row>
    <row r="206" spans="1:32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60.697480040498938</v>
      </c>
      <c r="AF206" s="4" t="s">
        <v>5</v>
      </c>
    </row>
    <row r="207" spans="1:32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650.82370465751319</v>
      </c>
      <c r="S207" s="4" t="s">
        <v>8</v>
      </c>
      <c r="T207" s="4" t="s">
        <v>93</v>
      </c>
    </row>
    <row r="208" spans="1:32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Q208" s="4" t="s">
        <v>12</v>
      </c>
      <c r="R208" s="4">
        <f>+R207*0.85</f>
        <v>553.20014895888619</v>
      </c>
      <c r="S208" s="4" t="s">
        <v>8</v>
      </c>
    </row>
    <row r="209" spans="1:20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Q209" s="4" t="s">
        <v>58</v>
      </c>
      <c r="R209" s="4">
        <f>1.6*C13-1.6*(T204*0.7071/12*T204*0.7071/2/12)*C20/12*0.15</f>
        <v>360.61467874600351</v>
      </c>
      <c r="S209" s="4" t="s">
        <v>8</v>
      </c>
      <c r="T209" s="4" t="s">
        <v>350</v>
      </c>
    </row>
    <row r="210" spans="1:20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Q210" s="4" t="s">
        <v>14</v>
      </c>
      <c r="R210" s="4">
        <f>+R209/R208</f>
        <v>0.65187017650785983</v>
      </c>
    </row>
    <row r="211" spans="1:20" x14ac:dyDescent="0.25">
      <c r="A211" s="49"/>
      <c r="B211" s="49"/>
      <c r="C211" s="49"/>
      <c r="D211" s="49"/>
      <c r="E211" s="49"/>
      <c r="F211" s="49"/>
      <c r="G211" s="49"/>
      <c r="H211" s="49"/>
      <c r="I211" s="49"/>
    </row>
    <row r="212" spans="1:20" x14ac:dyDescent="0.25">
      <c r="A212" s="49"/>
      <c r="B212" s="49"/>
      <c r="C212" s="49"/>
      <c r="D212" s="49"/>
      <c r="E212" s="49"/>
      <c r="F212" s="49"/>
      <c r="G212" s="49"/>
      <c r="H212" s="49"/>
      <c r="I212" s="49"/>
    </row>
    <row r="213" spans="1:20" x14ac:dyDescent="0.25">
      <c r="A213" s="49"/>
      <c r="B213" s="49"/>
      <c r="C213" s="49"/>
      <c r="D213" s="49"/>
      <c r="E213" s="49"/>
      <c r="F213" s="49"/>
      <c r="G213" s="49"/>
      <c r="H213" s="49"/>
      <c r="I213" s="49"/>
    </row>
    <row r="214" spans="1:20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20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20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20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20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19" spans="1:20" x14ac:dyDescent="0.25">
      <c r="A219" s="49"/>
      <c r="B219" s="49"/>
      <c r="C219" s="49"/>
      <c r="D219" s="49"/>
      <c r="E219" s="49"/>
      <c r="F219" s="49"/>
      <c r="G219" s="49"/>
      <c r="H219" s="49"/>
      <c r="I219" s="49"/>
    </row>
    <row r="220" spans="1:20" x14ac:dyDescent="0.25">
      <c r="A220" s="49"/>
      <c r="B220" s="49"/>
      <c r="C220" s="49"/>
      <c r="D220" s="49"/>
      <c r="E220" s="49"/>
      <c r="F220" s="49"/>
      <c r="G220" s="49"/>
      <c r="H220" s="49"/>
      <c r="I220" s="49"/>
    </row>
    <row r="221" spans="1:20" x14ac:dyDescent="0.25">
      <c r="A221" s="49"/>
      <c r="B221" s="49"/>
      <c r="C221" s="49"/>
      <c r="D221" s="49"/>
      <c r="E221" s="49"/>
      <c r="F221" s="49"/>
      <c r="G221" s="49"/>
      <c r="H221" s="49"/>
      <c r="I221" s="49"/>
    </row>
    <row r="222" spans="1:20" x14ac:dyDescent="0.25">
      <c r="A222" s="49"/>
      <c r="B222" s="49"/>
      <c r="C222" s="49"/>
      <c r="D222" s="49"/>
      <c r="E222" s="49"/>
      <c r="F222" s="49"/>
      <c r="G222" s="49"/>
      <c r="H222" s="49"/>
      <c r="I222" s="49"/>
    </row>
    <row r="223" spans="1:20" x14ac:dyDescent="0.25">
      <c r="A223" s="49"/>
      <c r="B223" s="49"/>
      <c r="C223" s="49"/>
      <c r="D223" s="49"/>
      <c r="E223" s="49"/>
      <c r="F223" s="49"/>
      <c r="G223" s="49"/>
      <c r="H223" s="49"/>
      <c r="I223" s="49"/>
    </row>
    <row r="224" spans="1:20" x14ac:dyDescent="0.25">
      <c r="A224" s="49"/>
      <c r="B224" s="49"/>
      <c r="C224" s="49"/>
      <c r="D224" s="49"/>
      <c r="E224" s="49"/>
      <c r="F224" s="49"/>
      <c r="G224" s="49"/>
      <c r="H224" s="49"/>
      <c r="I224" s="49"/>
    </row>
    <row r="225" spans="1:9" x14ac:dyDescent="0.25">
      <c r="A225" s="49"/>
      <c r="B225" s="49"/>
      <c r="C225" s="49"/>
      <c r="D225" s="49"/>
      <c r="E225" s="49"/>
      <c r="F225" s="49"/>
      <c r="G225" s="49"/>
      <c r="H225" s="49"/>
      <c r="I225" s="49"/>
    </row>
    <row r="226" spans="1:9" x14ac:dyDescent="0.25">
      <c r="A226" s="49"/>
      <c r="B226" s="49"/>
      <c r="C226" s="49"/>
      <c r="D226" s="49"/>
      <c r="E226" s="49"/>
      <c r="F226" s="49"/>
      <c r="G226" s="49"/>
      <c r="H226" s="49"/>
      <c r="I226" s="49"/>
    </row>
    <row r="227" spans="1:9" x14ac:dyDescent="0.25">
      <c r="A227" s="49"/>
      <c r="B227" s="49"/>
      <c r="C227" s="49"/>
      <c r="D227" s="49"/>
      <c r="E227" s="49"/>
      <c r="F227" s="49"/>
      <c r="G227" s="49"/>
      <c r="H227" s="49"/>
      <c r="I227" s="49"/>
    </row>
    <row r="228" spans="1:9" x14ac:dyDescent="0.25">
      <c r="A228" s="49"/>
      <c r="B228" s="49"/>
      <c r="C228" s="49"/>
      <c r="D228" s="49"/>
      <c r="E228" s="49"/>
      <c r="F228" s="49"/>
      <c r="G228" s="49"/>
      <c r="H228" s="49"/>
      <c r="I228" s="49"/>
    </row>
    <row r="229" spans="1:9" x14ac:dyDescent="0.25">
      <c r="A229" s="49"/>
      <c r="B229" s="49"/>
      <c r="C229" s="49"/>
      <c r="D229" s="49"/>
      <c r="E229" s="49"/>
      <c r="F229" s="49"/>
      <c r="G229" s="49"/>
      <c r="H229" s="49"/>
      <c r="I229" s="49"/>
    </row>
    <row r="230" spans="1:9" x14ac:dyDescent="0.25">
      <c r="A230" s="49"/>
      <c r="B230" s="49"/>
      <c r="C230" s="49"/>
      <c r="D230" s="49"/>
      <c r="E230" s="49"/>
      <c r="F230" s="49"/>
      <c r="G230" s="49"/>
      <c r="H230" s="49"/>
      <c r="I230" s="49"/>
    </row>
    <row r="231" spans="1:9" x14ac:dyDescent="0.25">
      <c r="A231" s="49"/>
      <c r="B231" s="49"/>
      <c r="C231" s="49"/>
      <c r="D231" s="49"/>
      <c r="E231" s="49"/>
      <c r="F231" s="49"/>
      <c r="G231" s="49"/>
      <c r="H231" s="49"/>
      <c r="I231" s="49"/>
    </row>
    <row r="232" spans="1:9" x14ac:dyDescent="0.25">
      <c r="A232" s="49"/>
      <c r="B232" s="49"/>
      <c r="C232" s="49"/>
      <c r="D232" s="49"/>
      <c r="E232" s="49"/>
      <c r="F232" s="49"/>
      <c r="G232" s="49"/>
      <c r="H232" s="49"/>
      <c r="I232" s="49"/>
    </row>
    <row r="233" spans="1:9" x14ac:dyDescent="0.25">
      <c r="A233" s="49"/>
      <c r="B233" s="49"/>
      <c r="C233" s="49"/>
      <c r="D233" s="49"/>
      <c r="E233" s="49"/>
      <c r="F233" s="49"/>
      <c r="G233" s="49"/>
      <c r="H233" s="49"/>
      <c r="I233" s="49"/>
    </row>
    <row r="234" spans="1:9" x14ac:dyDescent="0.25">
      <c r="A234" s="49"/>
      <c r="B234" s="49"/>
      <c r="C234" s="49"/>
      <c r="D234" s="49"/>
      <c r="E234" s="49"/>
      <c r="F234" s="49"/>
      <c r="G234" s="49"/>
      <c r="H234" s="49"/>
      <c r="I234" s="49"/>
    </row>
    <row r="235" spans="1:9" x14ac:dyDescent="0.25">
      <c r="A235" s="49"/>
      <c r="B235" s="49"/>
      <c r="C235" s="49"/>
      <c r="D235" s="49"/>
      <c r="E235" s="49"/>
      <c r="F235" s="49"/>
      <c r="G235" s="49"/>
      <c r="H235" s="49"/>
      <c r="I235" s="49"/>
    </row>
    <row r="236" spans="1:9" x14ac:dyDescent="0.25">
      <c r="A236" s="49"/>
      <c r="B236" s="49"/>
      <c r="C236" s="49"/>
      <c r="D236" s="49"/>
      <c r="E236" s="49"/>
      <c r="F236" s="49"/>
      <c r="G236" s="49"/>
      <c r="H236" s="49"/>
      <c r="I236" s="49"/>
    </row>
    <row r="237" spans="1:9" x14ac:dyDescent="0.25">
      <c r="A237" s="49"/>
      <c r="B237" s="49"/>
      <c r="C237" s="49"/>
      <c r="D237" s="49"/>
      <c r="E237" s="49"/>
      <c r="F237" s="49"/>
      <c r="G237" s="49"/>
      <c r="H237" s="49"/>
      <c r="I237" s="49"/>
    </row>
    <row r="238" spans="1:9" x14ac:dyDescent="0.25">
      <c r="A238" s="49"/>
      <c r="B238" s="49"/>
      <c r="C238" s="49"/>
      <c r="D238" s="49"/>
      <c r="E238" s="49"/>
      <c r="F238" s="49"/>
      <c r="G238" s="49"/>
      <c r="H238" s="49"/>
      <c r="I238" s="49"/>
    </row>
    <row r="239" spans="1:9" x14ac:dyDescent="0.25">
      <c r="A239" s="49"/>
      <c r="B239" s="49"/>
      <c r="C239" s="49"/>
      <c r="D239" s="49"/>
      <c r="E239" s="49"/>
      <c r="F239" s="49"/>
      <c r="G239" s="49"/>
      <c r="H239" s="49"/>
      <c r="I239" s="49"/>
    </row>
    <row r="240" spans="1:9" x14ac:dyDescent="0.25">
      <c r="A240" s="49"/>
      <c r="B240" s="49"/>
      <c r="C240" s="49"/>
      <c r="D240" s="49"/>
      <c r="E240" s="49"/>
      <c r="F240" s="49"/>
      <c r="G240" s="49"/>
      <c r="H240" s="49"/>
      <c r="I240" s="49"/>
    </row>
    <row r="241" spans="1:9" x14ac:dyDescent="0.25">
      <c r="A241" s="49"/>
      <c r="B241" s="49"/>
      <c r="C241" s="49"/>
      <c r="D241" s="49"/>
      <c r="E241" s="49"/>
      <c r="F241" s="49"/>
      <c r="G241" s="49"/>
      <c r="H241" s="49"/>
      <c r="I241" s="49"/>
    </row>
    <row r="242" spans="1:9" x14ac:dyDescent="0.25">
      <c r="A242" s="49"/>
      <c r="B242" s="49"/>
      <c r="C242" s="49"/>
      <c r="D242" s="49"/>
      <c r="E242" s="49"/>
      <c r="F242" s="49"/>
      <c r="G242" s="49"/>
      <c r="H242" s="49"/>
      <c r="I242" s="49"/>
    </row>
    <row r="243" spans="1:9" x14ac:dyDescent="0.25">
      <c r="A243" s="49"/>
      <c r="B243" s="49"/>
      <c r="C243" s="49"/>
      <c r="D243" s="49"/>
      <c r="E243" s="49"/>
      <c r="F243" s="49"/>
      <c r="G243" s="49"/>
      <c r="H243" s="49"/>
      <c r="I243" s="49"/>
    </row>
    <row r="244" spans="1:9" x14ac:dyDescent="0.25">
      <c r="A244" s="49"/>
      <c r="B244" s="49"/>
      <c r="C244" s="49"/>
      <c r="D244" s="49"/>
      <c r="E244" s="49"/>
      <c r="F244" s="49"/>
      <c r="G244" s="49"/>
      <c r="H244" s="49"/>
      <c r="I244" s="49"/>
    </row>
    <row r="245" spans="1:9" x14ac:dyDescent="0.25">
      <c r="A245" s="49"/>
      <c r="B245" s="49"/>
      <c r="C245" s="49"/>
      <c r="D245" s="49"/>
      <c r="E245" s="49"/>
      <c r="F245" s="49"/>
      <c r="G245" s="49"/>
      <c r="H245" s="49"/>
      <c r="I245" s="49"/>
    </row>
    <row r="246" spans="1:9" x14ac:dyDescent="0.25">
      <c r="A246" s="49"/>
      <c r="B246" s="49"/>
      <c r="C246" s="49"/>
      <c r="D246" s="49"/>
      <c r="E246" s="49"/>
      <c r="F246" s="49"/>
      <c r="G246" s="49"/>
      <c r="H246" s="49"/>
      <c r="I246" s="49"/>
    </row>
    <row r="247" spans="1:9" x14ac:dyDescent="0.25">
      <c r="A247" s="49"/>
      <c r="B247" s="49"/>
      <c r="C247" s="49"/>
      <c r="D247" s="49"/>
      <c r="E247" s="49"/>
      <c r="F247" s="49"/>
      <c r="G247" s="49"/>
      <c r="H247" s="49"/>
      <c r="I247" s="49"/>
    </row>
    <row r="248" spans="1:9" x14ac:dyDescent="0.25">
      <c r="A248" s="49"/>
      <c r="B248" s="49"/>
      <c r="C248" s="49"/>
      <c r="D248" s="49"/>
      <c r="E248" s="49"/>
      <c r="F248" s="49"/>
      <c r="G248" s="49"/>
      <c r="H248" s="49"/>
      <c r="I248" s="49"/>
    </row>
    <row r="249" spans="1:9" x14ac:dyDescent="0.25">
      <c r="A249" s="49"/>
      <c r="B249" s="49"/>
      <c r="C249" s="49"/>
      <c r="D249" s="49"/>
      <c r="E249" s="49"/>
      <c r="F249" s="49"/>
      <c r="G249" s="49"/>
      <c r="H249" s="49"/>
      <c r="I249" s="49"/>
    </row>
    <row r="250" spans="1:9" x14ac:dyDescent="0.25">
      <c r="A250" s="49"/>
      <c r="B250" s="49"/>
      <c r="C250" s="49"/>
      <c r="D250" s="49"/>
      <c r="E250" s="49"/>
      <c r="F250" s="49"/>
      <c r="G250" s="49"/>
      <c r="H250" s="49"/>
      <c r="I250" s="49"/>
    </row>
    <row r="251" spans="1:9" x14ac:dyDescent="0.25">
      <c r="A251" s="49"/>
      <c r="B251" s="49"/>
      <c r="C251" s="49"/>
      <c r="D251" s="49"/>
      <c r="E251" s="49"/>
      <c r="F251" s="49"/>
      <c r="G251" s="49"/>
      <c r="H251" s="49"/>
      <c r="I251" s="49"/>
    </row>
    <row r="252" spans="1:9" x14ac:dyDescent="0.25">
      <c r="A252" s="49"/>
      <c r="B252" s="49"/>
      <c r="C252" s="49"/>
      <c r="D252" s="49"/>
      <c r="E252" s="49"/>
      <c r="F252" s="49"/>
      <c r="G252" s="49"/>
      <c r="H252" s="49"/>
      <c r="I252" s="49"/>
    </row>
    <row r="253" spans="1:9" x14ac:dyDescent="0.25">
      <c r="A253" s="49"/>
      <c r="B253" s="49"/>
      <c r="C253" s="49"/>
      <c r="D253" s="49"/>
      <c r="E253" s="49"/>
      <c r="F253" s="49"/>
      <c r="G253" s="49"/>
      <c r="H253" s="49"/>
      <c r="I253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3" max="16383" man="1"/>
    <brk id="84" max="16383" man="1"/>
    <brk id="125" max="16383" man="1"/>
    <brk id="166" max="16383" man="1"/>
    <brk id="207" max="1638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268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40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80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8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21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21" x14ac:dyDescent="0.25">
      <c r="A18" s="45"/>
      <c r="B18" s="46" t="s">
        <v>423</v>
      </c>
      <c r="C18" s="55">
        <f>+IF(C12&lt;61,15,IF(C12&lt;121,21,IF(C12&lt;201,27,IF(C12&lt;281,30,36))))</f>
        <v>15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21" ht="18" x14ac:dyDescent="0.35">
      <c r="A19" s="45"/>
      <c r="B19" s="46" t="s">
        <v>424</v>
      </c>
      <c r="C19" s="54">
        <f>17+30/200*C12</f>
        <v>23</v>
      </c>
      <c r="D19" s="48" t="s">
        <v>0</v>
      </c>
      <c r="E19" s="46" t="s">
        <v>260</v>
      </c>
      <c r="F19" s="57">
        <f>+C21-2*U26</f>
        <v>5.8670079999999976</v>
      </c>
      <c r="G19" s="48" t="s">
        <v>422</v>
      </c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18.678525000000004</v>
      </c>
    </row>
    <row r="20" spans="1:21" ht="18" x14ac:dyDescent="0.35">
      <c r="A20" s="45"/>
      <c r="B20" s="46" t="s">
        <v>425</v>
      </c>
      <c r="C20" s="56">
        <v>51</v>
      </c>
      <c r="D20" s="48" t="s">
        <v>0</v>
      </c>
      <c r="E20" s="46" t="s">
        <v>261</v>
      </c>
      <c r="F20" s="74">
        <f>2*S27</f>
        <v>7.4439999999999991</v>
      </c>
      <c r="G20" s="48" t="s">
        <v>422</v>
      </c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21" x14ac:dyDescent="0.25">
      <c r="A21" s="45"/>
      <c r="B21" s="46" t="s">
        <v>426</v>
      </c>
      <c r="C21" s="53">
        <f>2*C18/12+4*C17*0.866</f>
        <v>12.891999999999999</v>
      </c>
      <c r="D21" s="48" t="s">
        <v>422</v>
      </c>
      <c r="I21" s="50"/>
      <c r="J21" s="4" t="s">
        <v>34</v>
      </c>
      <c r="L21" s="4">
        <f>+IF(C23&lt;9,(C23/8),IF(C23=9,1.128,IF(C23=10,1.27,IF(C23=11,1.41,IF(C23=14,1.693,0)))))</f>
        <v>1.27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21" ht="17.25" x14ac:dyDescent="0.25">
      <c r="A22" s="45"/>
      <c r="B22" s="46" t="s">
        <v>427</v>
      </c>
      <c r="C22" s="54">
        <f>2*C18/12+3*C17</f>
        <v>11.5</v>
      </c>
      <c r="D22" s="48" t="s">
        <v>422</v>
      </c>
      <c r="I22" s="50"/>
      <c r="J22" s="4" t="s">
        <v>36</v>
      </c>
      <c r="L22" s="4">
        <f>3.1415*L21^2/4</f>
        <v>1.2667313375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21" x14ac:dyDescent="0.25">
      <c r="A23" s="45"/>
      <c r="B23" s="46" t="s">
        <v>428</v>
      </c>
      <c r="C23" s="47">
        <v>10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21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21" ht="18" x14ac:dyDescent="0.35">
      <c r="A25" s="45"/>
      <c r="B25" s="46" t="s">
        <v>430</v>
      </c>
      <c r="C25" s="57">
        <f>+C20-C14-C15-P21-0.5*L21</f>
        <v>39.955000000000005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21" ht="18" x14ac:dyDescent="0.35">
      <c r="A26" s="45"/>
      <c r="B26" s="46" t="s">
        <v>431</v>
      </c>
      <c r="C26" s="58">
        <f>+C20-C14-C15-P21/2</f>
        <v>41.295000000000002</v>
      </c>
      <c r="D26" s="48" t="s">
        <v>0</v>
      </c>
      <c r="E26" s="49"/>
      <c r="F26" s="49"/>
      <c r="G26" s="49"/>
      <c r="H26" s="49"/>
      <c r="I26" s="50"/>
      <c r="O26" s="93"/>
      <c r="P26" s="93" t="s">
        <v>258</v>
      </c>
      <c r="Q26" s="93">
        <f>+C21/2</f>
        <v>6.4459999999999997</v>
      </c>
      <c r="R26" s="93" t="s">
        <v>262</v>
      </c>
      <c r="S26" s="93">
        <f>+Q26</f>
        <v>6.4459999999999997</v>
      </c>
      <c r="T26" s="93" t="s">
        <v>265</v>
      </c>
      <c r="U26" s="93">
        <f>+U27*2*0.866</f>
        <v>3.512496000000001</v>
      </c>
    </row>
    <row r="27" spans="1:21" ht="18" x14ac:dyDescent="0.35">
      <c r="A27" s="45"/>
      <c r="B27" s="46" t="s">
        <v>432</v>
      </c>
      <c r="C27" s="54">
        <f>+C20-C14-C15-1</f>
        <v>41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9.027166454840966</v>
      </c>
      <c r="O27" s="93"/>
      <c r="P27" s="93" t="s">
        <v>259</v>
      </c>
      <c r="Q27" s="93">
        <f>+C17-0.5774*C18/12</f>
        <v>2.2782499999999999</v>
      </c>
      <c r="R27" s="93" t="s">
        <v>263</v>
      </c>
      <c r="S27" s="93">
        <f>+Q27+1.155*C18/12</f>
        <v>3.7219999999999995</v>
      </c>
      <c r="T27" s="93" t="s">
        <v>264</v>
      </c>
      <c r="U27" s="93">
        <f>+(C22-F20)/2</f>
        <v>2.0280000000000005</v>
      </c>
    </row>
    <row r="28" spans="1:21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  <c r="O28" s="93"/>
      <c r="P28" s="93"/>
      <c r="Q28" s="93"/>
      <c r="R28" s="93"/>
      <c r="S28" s="93"/>
      <c r="T28" s="93"/>
      <c r="U28" s="93"/>
    </row>
    <row r="29" spans="1:21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M29" s="4">
        <f>+IF(C8="Round",C16,L27)</f>
        <v>8</v>
      </c>
    </row>
    <row r="30" spans="1:21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21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21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41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20.5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49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6311.2735000000002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">
        <v>229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18.164806504912733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1382.7307450138326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1175.3211332617577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114.64306192708334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1.6*17*C13-1.6*C21*C22*C20/12*0.15+1.6*2*U26*U27*C20/12*0.15</f>
        <v>2039.3084574515201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9.7541904661345852E-2</v>
      </c>
    </row>
    <row r="41" spans="1:25" x14ac:dyDescent="0.25">
      <c r="A41" s="45"/>
      <c r="B41" s="46" t="s">
        <v>433</v>
      </c>
      <c r="C41" s="58">
        <f>+(C40/4)^0.5</f>
        <v>22.579351504480371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23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1.6*C13*(2*(0.5*C17*12+C11-C42/4))+1.6*C13*(3*(1*C17*12+C11-C42/4))+1.6*C13*(2*(1.5*C17*12+C11-C42/4))-1.6*(C22/2-C42/12/4)*C21*C20/12*0.15*(C22/2-C42/12/4)*12/2+1.6*U26*U27*C20/12*0.15*(C22*12/2-U27*12/3)</f>
        <v>28042.452362319073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2175.1824668258669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39.955000000000005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1.0391706468498434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13.396987979188181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17.862650638917575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16.927908761385183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20.603994400000008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20.603994400000008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14.201827200000002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17.862650638917575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1.1210434782608696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0.94293210888816015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9.8289333333333335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14.161525830411122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3.6349999999999998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17.862650638917575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3.6349999999999998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3.6349999999999998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41.736458881893654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54.5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14.101372651102961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16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41.736458881893654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54.5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1.6*C13*(4*(0.866*C17*12+C11-C42/4))+1.6*C13*(3*(2*0.866*C17*12+C11-C42/4))-1.6*(C21/2-C42/12/4)*C22*C20/12*0.15*(C21/2-C42/12/4)*12/2+1.6*U26*U27*C20/12*0.15*(C21*12/2-U26*12/3)</f>
        <v>35395.474160255995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3077.8673182831299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41.295000000000002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1.433928805849245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9.3278571428571428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16.490181267266316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21.986908356355087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3.7050000000000001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15.606560078401326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18.995699999999999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18.995699999999999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12.6684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18.995699999999999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3.7050000000000001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46.337328364937051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46.337328364937051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62.852000000000004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62.852000000000004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12.16578127363783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15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41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32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20.5</v>
      </c>
      <c r="C87" s="48" t="s">
        <v>0</v>
      </c>
      <c r="D87" s="49"/>
      <c r="E87" s="49"/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+C17*12*0.5+C11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+IF(M86&gt;O91,0,IF(M86&gt;O89,6,IF(M86&gt;O88,10,IF(M86&gt;O90,12,16))))</f>
        <v>16</v>
      </c>
      <c r="F88" s="49"/>
      <c r="G88" s="49"/>
      <c r="H88" s="49"/>
      <c r="I88" s="50"/>
      <c r="J88" s="4" t="s">
        <v>251</v>
      </c>
      <c r="K88" s="64"/>
      <c r="L88" s="64"/>
      <c r="M88" s="64"/>
      <c r="N88" s="64"/>
      <c r="O88" s="64">
        <f>+C17*12+C11</f>
        <v>39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266</v>
      </c>
      <c r="K89" s="64"/>
      <c r="L89" s="64"/>
      <c r="M89" s="64"/>
      <c r="N89" s="64"/>
      <c r="O89" s="64">
        <f>1.5*C17*12+C11</f>
        <v>57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256</v>
      </c>
      <c r="C90" s="48" t="s">
        <v>0</v>
      </c>
      <c r="D90" s="49"/>
      <c r="E90" s="49"/>
      <c r="F90" s="49"/>
      <c r="G90" s="49"/>
      <c r="H90" s="49"/>
      <c r="I90" s="50"/>
      <c r="J90" s="4" t="s">
        <v>241</v>
      </c>
      <c r="K90" s="64"/>
      <c r="L90" s="64"/>
      <c r="M90" s="64"/>
      <c r="N90" s="64"/>
      <c r="O90" s="64">
        <f>+C17*12*0.866+C11</f>
        <v>34.176000000000002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2299.5583854296897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242</v>
      </c>
      <c r="K91" s="64"/>
      <c r="L91" s="64"/>
      <c r="M91" s="64"/>
      <c r="N91" s="64"/>
      <c r="O91" s="64">
        <f>+C17*12*2*0.866+C11</f>
        <v>65.352000000000004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1954.6246276152362</v>
      </c>
      <c r="C92" s="48" t="s">
        <v>18</v>
      </c>
      <c r="D92" s="49"/>
      <c r="E92" s="49"/>
      <c r="F92" s="49"/>
      <c r="G92" s="49"/>
      <c r="H92" s="49"/>
      <c r="I92" s="50"/>
      <c r="L92" s="4" t="s">
        <v>83</v>
      </c>
      <c r="O92" s="4">
        <f>+B89</f>
        <v>219.08902300206645</v>
      </c>
      <c r="P92" s="4" t="s">
        <v>5</v>
      </c>
    </row>
    <row r="93" spans="1:17" ht="18" x14ac:dyDescent="0.35">
      <c r="A93" s="68" t="s">
        <v>58</v>
      </c>
      <c r="B93" s="79">
        <f>+E88*1.6*C13-1.6*0.15*C21*C22*C20/12+1.6*0.15*(2*M86)/12*(2*M86)/12*C20/12+1.6*2*U26*U27*C20/12*0.15</f>
        <v>1940.3217907848534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0.99268256593705506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41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52.5</v>
      </c>
      <c r="N98" s="4" t="s">
        <v>0</v>
      </c>
      <c r="O98" s="64"/>
    </row>
    <row r="99" spans="1:17" x14ac:dyDescent="0.25">
      <c r="A99" s="68"/>
      <c r="B99" s="80"/>
      <c r="C99" s="48"/>
      <c r="D99" s="80"/>
      <c r="E99" s="82" t="s">
        <v>446</v>
      </c>
      <c r="F99" s="83">
        <f>+IF(M98&gt;O100,0,IF(M98&gt;O99,3,7))</f>
        <v>3</v>
      </c>
      <c r="G99" s="49"/>
      <c r="H99" s="49"/>
      <c r="I99" s="50"/>
      <c r="J99" s="4" t="s">
        <v>244</v>
      </c>
      <c r="K99" s="64"/>
      <c r="L99" s="64"/>
      <c r="M99" s="64"/>
      <c r="N99" s="64"/>
      <c r="O99" s="64">
        <f>0.866*C17*12+C11</f>
        <v>34.176000000000002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245</v>
      </c>
      <c r="K100" s="64"/>
      <c r="L100" s="64"/>
      <c r="M100" s="64"/>
      <c r="N100" s="64"/>
      <c r="O100" s="64">
        <f>2*0.866*C17*12+C11</f>
        <v>65.352000000000004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+M105*12*B98</f>
        <v>4839.0438429561191</v>
      </c>
      <c r="C101" s="48" t="s">
        <v>436</v>
      </c>
      <c r="D101" s="49"/>
      <c r="E101" s="49"/>
      <c r="F101" s="49"/>
      <c r="G101" s="49"/>
      <c r="H101" s="49"/>
      <c r="I101" s="50"/>
      <c r="K101" s="64"/>
      <c r="L101" s="64"/>
      <c r="M101" s="64"/>
      <c r="N101" s="64"/>
      <c r="O101" s="64"/>
    </row>
    <row r="102" spans="1:17" ht="18.75" x14ac:dyDescent="0.35">
      <c r="A102" s="68" t="s">
        <v>7</v>
      </c>
      <c r="B102" s="79">
        <f>+B100*B101/1000</f>
        <v>530.09069390871059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450.57708982240399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+F99*C13*1.6-1.6*0.15*C21*C22*C20/12*((C21/2-M98/12)/C21)+1.6*U26*U27*C20/12*0.15</f>
        <v>366.97297872576002</v>
      </c>
      <c r="C104" s="48" t="s">
        <v>18</v>
      </c>
      <c r="D104" s="49" t="s">
        <v>132</v>
      </c>
      <c r="E104" s="49"/>
      <c r="F104" s="49"/>
      <c r="G104" s="49"/>
      <c r="H104" s="49"/>
      <c r="I104" s="50"/>
      <c r="L104" s="4" t="s">
        <v>270</v>
      </c>
      <c r="M104" s="4">
        <f>+C22</f>
        <v>11.5</v>
      </c>
    </row>
    <row r="105" spans="1:17" ht="18" x14ac:dyDescent="0.35">
      <c r="A105" s="68" t="s">
        <v>14</v>
      </c>
      <c r="B105" s="74">
        <f>+B104/B103</f>
        <v>0.81445103849022438</v>
      </c>
      <c r="C105" s="49"/>
      <c r="D105" s="49"/>
      <c r="E105" s="49"/>
      <c r="F105" s="49"/>
      <c r="G105" s="49"/>
      <c r="H105" s="49"/>
      <c r="I105" s="50"/>
      <c r="L105" s="4" t="s">
        <v>269</v>
      </c>
      <c r="M105" s="4">
        <f>+IF(M98/12&lt;F19/2,C22,C22-2*(M98/12-F19/2)/0.866*0.5)</f>
        <v>9.8354549653579664</v>
      </c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41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52.5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+IF(M109&gt;O112,0,IF(M109&gt;O111,2,IF(M109&gt;O110,5,7)))</f>
        <v>2</v>
      </c>
      <c r="F110" s="49"/>
      <c r="G110" s="49"/>
      <c r="H110" s="49"/>
      <c r="I110" s="50"/>
      <c r="J110" s="4" t="s">
        <v>252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253</v>
      </c>
      <c r="K111" s="64"/>
      <c r="L111" s="64"/>
      <c r="M111" s="64"/>
      <c r="N111" s="64"/>
      <c r="O111" s="64">
        <f>C17*12+C11</f>
        <v>39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+M116*12*B109</f>
        <v>5229.9639359999992</v>
      </c>
      <c r="C112" s="48" t="s">
        <v>436</v>
      </c>
      <c r="D112" s="49"/>
      <c r="E112" s="49"/>
      <c r="F112" s="49"/>
      <c r="G112" s="49"/>
      <c r="H112" s="49"/>
      <c r="I112" s="50"/>
      <c r="J112" s="4" t="s">
        <v>267</v>
      </c>
      <c r="K112" s="64"/>
      <c r="L112" s="64"/>
      <c r="M112" s="64"/>
      <c r="N112" s="64"/>
      <c r="O112" s="64">
        <f>1.5*C17*12+C11</f>
        <v>57</v>
      </c>
      <c r="P112" s="4" t="s">
        <v>0</v>
      </c>
      <c r="Q112" s="4" t="s">
        <v>120</v>
      </c>
    </row>
    <row r="113" spans="1:23" ht="18.75" x14ac:dyDescent="0.35">
      <c r="A113" s="68" t="s">
        <v>7</v>
      </c>
      <c r="B113" s="79">
        <f>+B111*B112/1000</f>
        <v>572.9138445371409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486.97676785656978</v>
      </c>
      <c r="C114" s="48" t="s">
        <v>18</v>
      </c>
      <c r="D114" s="49"/>
      <c r="E114" s="49"/>
      <c r="F114" s="49"/>
      <c r="G114" s="49"/>
      <c r="H114" s="49"/>
      <c r="I114" s="50"/>
      <c r="L114" s="4" t="s">
        <v>83</v>
      </c>
      <c r="O114" s="4">
        <f>+B111</f>
        <v>109.54451150103323</v>
      </c>
      <c r="P114" s="4" t="s">
        <v>5</v>
      </c>
    </row>
    <row r="115" spans="1:23" ht="18" x14ac:dyDescent="0.35">
      <c r="A115" s="68" t="s">
        <v>58</v>
      </c>
      <c r="B115" s="79">
        <f>+E110*C13*1.6-1.6*0.15*C21*C22*C20/12*((C22/2-M109/12)/C22)+1.6*U26*U27*C20/12*0.15</f>
        <v>245.18477872576</v>
      </c>
      <c r="C115" s="48" t="s">
        <v>18</v>
      </c>
      <c r="D115" s="49" t="s">
        <v>132</v>
      </c>
      <c r="E115" s="49"/>
      <c r="F115" s="49"/>
      <c r="G115" s="49"/>
      <c r="H115" s="49"/>
      <c r="I115" s="50"/>
      <c r="L115" s="4" t="s">
        <v>270</v>
      </c>
      <c r="M115" s="4">
        <f>+C21</f>
        <v>12.891999999999999</v>
      </c>
    </row>
    <row r="116" spans="1:23" ht="18" x14ac:dyDescent="0.35">
      <c r="A116" s="68" t="s">
        <v>14</v>
      </c>
      <c r="B116" s="74">
        <f>+B115/B114</f>
        <v>0.50348352305376254</v>
      </c>
      <c r="C116" s="48"/>
      <c r="D116" s="49"/>
      <c r="E116" s="49"/>
      <c r="F116" s="49"/>
      <c r="G116" s="49"/>
      <c r="H116" s="49"/>
      <c r="I116" s="50"/>
      <c r="L116" s="4" t="s">
        <v>269</v>
      </c>
      <c r="M116" s="4">
        <f>+IF(M109/12&lt;F20/2,C21,C21-2*(M109/12-F20/2)/0.5*0.866)</f>
        <v>10.630007999999998</v>
      </c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16.088000000000001</v>
      </c>
      <c r="W126" s="4" t="s">
        <v>0</v>
      </c>
    </row>
    <row r="127" spans="1:23" ht="18" x14ac:dyDescent="0.35">
      <c r="A127" s="68" t="s">
        <v>1</v>
      </c>
      <c r="B127" s="53">
        <f>+B86</f>
        <v>41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1900.5239233333334</v>
      </c>
      <c r="W127" s="49" t="s">
        <v>8</v>
      </c>
    </row>
    <row r="128" spans="1:23" ht="18.75" x14ac:dyDescent="0.35">
      <c r="A128" s="68" t="s">
        <v>54</v>
      </c>
      <c r="B128" s="54">
        <f>+B127/2</f>
        <v>20.5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OK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16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9.5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+C17*12*0.866-C42/2+C11</f>
        <v>22.675999999999998</v>
      </c>
      <c r="S130" s="4" t="s">
        <v>0</v>
      </c>
      <c r="U130" s="49" t="s">
        <v>11</v>
      </c>
      <c r="V130" s="49">
        <f>+B134</f>
        <v>256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+C13*E129*1.6-1.6*0.15*C21*C22*C20/12+1.6*0.15*(C42)/12*(C42)/12*C20/12+1.6*2*U26*U27*C20/12*0.15</f>
        <v>1915.0555407848535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+C13*E129*1.6-1.6*0.15*C21*C22*C20/12+1.6*0.15*(C42)/12*(C42)/12*C20/12+1.6*2*U26*U27*C20/12*0.15</f>
        <v>1915.0555407848535</v>
      </c>
      <c r="S131" s="49" t="s">
        <v>8</v>
      </c>
      <c r="T131" s="49"/>
      <c r="U131" s="49" t="s">
        <v>2</v>
      </c>
      <c r="V131" s="49">
        <f>+B135</f>
        <v>92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14.182863814239075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2930.1931191763197</v>
      </c>
      <c r="W133" s="49" t="s">
        <v>8</v>
      </c>
    </row>
    <row r="134" spans="1:23" ht="18" x14ac:dyDescent="0.35">
      <c r="A134" s="68" t="s">
        <v>11</v>
      </c>
      <c r="B134" s="58">
        <f>4*(B127+C42)</f>
        <v>256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256</v>
      </c>
      <c r="S134" s="49" t="s">
        <v>0</v>
      </c>
      <c r="T134" s="49"/>
      <c r="U134" s="45" t="s">
        <v>12</v>
      </c>
      <c r="V134" s="49">
        <f>+V133*0.85</f>
        <v>2490.6641512998717</v>
      </c>
      <c r="W134" s="49" t="s">
        <v>8</v>
      </c>
    </row>
    <row r="135" spans="1:23" ht="18" x14ac:dyDescent="0.35">
      <c r="A135" s="68" t="s">
        <v>2</v>
      </c>
      <c r="B135" s="58">
        <f>4*C42</f>
        <v>92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1315.5368337698453</v>
      </c>
      <c r="P135" s="4" t="s">
        <v>5</v>
      </c>
      <c r="Q135" s="49" t="s">
        <v>2</v>
      </c>
      <c r="R135" s="49">
        <f>+B135</f>
        <v>92</v>
      </c>
      <c r="S135" s="49" t="s">
        <v>0</v>
      </c>
      <c r="T135" s="49"/>
      <c r="U135" s="45" t="s">
        <v>14</v>
      </c>
      <c r="V135" s="49">
        <f>+V127/V134</f>
        <v>0.76305909102255098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24.018306636155607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10.062352841924426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4962.204936979856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17.040329739040018</v>
      </c>
      <c r="Q137" s="49" t="s">
        <v>7</v>
      </c>
      <c r="R137" s="49">
        <f>+R136*(C9*1000)^0.5*R135*B127/1000</f>
        <v>2078.8916432046499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4217.8741964328774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3520.5482900922534</v>
      </c>
      <c r="Q138" s="49" t="s">
        <v>12</v>
      </c>
      <c r="R138" s="49">
        <f>+R137*0.85</f>
        <v>1767.0578967239524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0.45403334751056496</v>
      </c>
      <c r="C139" s="48"/>
      <c r="D139" s="110" t="s">
        <v>235</v>
      </c>
      <c r="F139" s="4" t="s">
        <v>14</v>
      </c>
      <c r="G139" s="88">
        <f>+(B139+R139)/2</f>
        <v>0.76889352576315451</v>
      </c>
      <c r="H139" s="49"/>
      <c r="I139" s="50"/>
      <c r="K139" s="4">
        <f>+R131/K138</f>
        <v>0.54396513922968259</v>
      </c>
      <c r="Q139" s="49" t="s">
        <v>14</v>
      </c>
      <c r="R139" s="49">
        <f>+R131/R138</f>
        <v>1.0837537040157441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41.295000000000002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+C17*12*0.866-C42/2+C11</f>
        <v>22.675999999999998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0.54912216975420747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7*1.6*C13-1.6*0.15*C21*C22*C20/12*((C21/2-C42/2/12)/C21)+1.6*U26*U27*C20/12*0.15</f>
        <v>838.8954787257602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1.6*C13*(4*B144)+1.6*C13*(3*(B144+0.866*C17*12))-1.6*0.15*C21*C22*C20/12*((C21/2-C42/2/12)/C21)*(C21/2-C42/2/12)*12/2+1.6*U26*U27*C20/12*0.15*(C21*12/2-U26*12/3)</f>
        <v>30629.762854630997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1.1309976168732441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258.94003769153608</v>
      </c>
      <c r="P148" s="4" t="s">
        <v>5</v>
      </c>
    </row>
    <row r="149" spans="1:16" ht="18" x14ac:dyDescent="0.35">
      <c r="A149" s="68" t="s">
        <v>447</v>
      </c>
      <c r="B149" s="58">
        <f>1/B148</f>
        <v>0.88417516100926885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4.727576656163075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1254.2805548641636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0.66882602578225503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39.955000000000005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+C17*12*0.5-C42/2+C11</f>
        <v>9.5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0.23776748842447751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7*1.6*C13-1.6*0.15*C21*C22*C20/12*((C22/2-C42/2/12)/C22)+1.6*U26*U27*C20/12*0.15</f>
        <v>840.2561587257602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1.6*C13*(2*B157)+1.6*C13*(3*(B157+0.5*C17*12))+1.6*C13*(2*(B157+1*C17*12))-1.6*0.15*C21*C22*C20/12*((C22/2-C42/2/12)/C22)*(C22/2-C42/2/12)*12/2+1.6*U26*U27*C20/12*0.15*(C22*12/2-U27*12/3)</f>
        <v>23270.873124194073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1.4426804977499292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0.69315416792536244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2877.7444894354808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0.29198428206897231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41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+C22*C21*C20/12/27-2*U26*U27*C20/12/27</f>
        <v>21.094373850074071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20.5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49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6311.2735000000002</v>
      </c>
      <c r="U171" s="4" t="s">
        <v>35</v>
      </c>
    </row>
    <row r="172" spans="1:32" ht="18.75" x14ac:dyDescent="0.35">
      <c r="A172" s="45"/>
      <c r="B172" s="53">
        <f>+C65</f>
        <v>16</v>
      </c>
      <c r="C172" s="48" t="s">
        <v>71</v>
      </c>
      <c r="D172" s="83" t="str">
        <f>"#"&amp;+C23</f>
        <v>#10</v>
      </c>
      <c r="E172" s="49" t="s">
        <v>72</v>
      </c>
      <c r="F172" s="49" t="s">
        <v>73</v>
      </c>
      <c r="G172" s="57">
        <f>+C22-0.5</f>
        <v>11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18.164806504912733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1.5565437500000003</v>
      </c>
      <c r="H173" s="48" t="s">
        <v>74</v>
      </c>
      <c r="I173" s="50"/>
      <c r="Q173" s="4" t="s">
        <v>7</v>
      </c>
      <c r="R173" s="4">
        <f>+R172*T171/1000</f>
        <v>1382.7307450138326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758.63132323611114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1175.3211332617577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114.64306192708334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15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12.391999999999999</v>
      </c>
      <c r="H176" s="48" t="s">
        <v>74</v>
      </c>
      <c r="I176" s="50"/>
      <c r="Q176" s="4" t="s">
        <v>14</v>
      </c>
      <c r="R176" s="4">
        <f>+R175/R174</f>
        <v>9.7541904661345852E-2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987.60106541906259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41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1746.2323886551737</v>
      </c>
      <c r="D180" s="48" t="s">
        <v>78</v>
      </c>
      <c r="E180" s="49" t="s">
        <v>79</v>
      </c>
      <c r="F180" s="88">
        <f>+C180/2000</f>
        <v>0.87311619432758691</v>
      </c>
      <c r="G180" s="48" t="s">
        <v>19</v>
      </c>
      <c r="H180" s="49"/>
      <c r="I180" s="50"/>
      <c r="Q180" s="4" t="s">
        <v>54</v>
      </c>
      <c r="T180" s="4">
        <f>+T179/2</f>
        <v>20.5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153.93350000000001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9263.2735000000011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24.845219341422155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2029.481540915933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1725.0593097785429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230.14806192708335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0.13341457921039768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41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20.5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68.483374999999995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2807.8183749999998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41.975922136263833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615.16218454599982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522.88785686409983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117.86076548177084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0.22540352378541317</v>
      </c>
      <c r="T199" s="4" t="s">
        <v>146</v>
      </c>
      <c r="V199" s="4">
        <f>+(C18*C18+C18*T170+3.1415*T170^2/4/4)/144</f>
        <v>9.9404259982638887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41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76.425999999999988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3133.4659999999994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37.548477847785328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343.25400227509652</v>
      </c>
      <c r="S207" s="4" t="s">
        <v>8</v>
      </c>
      <c r="T207" s="4" t="s">
        <v>93</v>
      </c>
    </row>
    <row r="208" spans="1:58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291.76590193383203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117.65687868778846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0.40325781014147161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1" man="1"/>
    <brk id="84" max="31" man="1"/>
    <brk id="125" max="31" man="1"/>
    <brk id="166" max="31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ColWidth="9.7109375" defaultRowHeight="15" x14ac:dyDescent="0.25"/>
  <cols>
    <col min="1" max="1" width="12" style="4" customWidth="1"/>
    <col min="2" max="2" width="14.5703125" style="4" customWidth="1"/>
    <col min="3" max="3" width="9.7109375" style="4"/>
    <col min="4" max="6" width="9.140625" style="4" customWidth="1"/>
    <col min="7" max="7" width="7.85546875" style="4" customWidth="1"/>
    <col min="8" max="9" width="9.140625" style="4" customWidth="1"/>
    <col min="10" max="38" width="0" style="4" hidden="1" customWidth="1"/>
    <col min="39" max="39" width="9.140625" style="4" customWidth="1"/>
    <col min="40" max="16384" width="9.7109375" style="4"/>
  </cols>
  <sheetData>
    <row r="1" spans="1:17" ht="15.6" x14ac:dyDescent="0.35">
      <c r="A1" s="15" t="s">
        <v>349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100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200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10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21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21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21" ht="18" x14ac:dyDescent="0.35">
      <c r="A19" s="45"/>
      <c r="B19" s="46" t="s">
        <v>424</v>
      </c>
      <c r="C19" s="54">
        <f>17+30/200*C12</f>
        <v>32</v>
      </c>
      <c r="D19" s="48" t="s">
        <v>0</v>
      </c>
      <c r="E19" s="49"/>
      <c r="F19" s="49"/>
      <c r="G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16.590060000000001</v>
      </c>
    </row>
    <row r="20" spans="1:21" ht="18" x14ac:dyDescent="0.35">
      <c r="A20" s="45"/>
      <c r="B20" s="46" t="s">
        <v>425</v>
      </c>
      <c r="C20" s="56">
        <v>58</v>
      </c>
      <c r="D20" s="48" t="s">
        <v>0</v>
      </c>
      <c r="E20" s="49"/>
      <c r="F20" s="49"/>
      <c r="G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18.678525000000004</v>
      </c>
    </row>
    <row r="21" spans="1:21" x14ac:dyDescent="0.25">
      <c r="A21" s="45"/>
      <c r="B21" s="46" t="s">
        <v>426</v>
      </c>
      <c r="C21" s="53">
        <f>2*C18/12+4*C17*0.866</f>
        <v>13.891999999999999</v>
      </c>
      <c r="D21" s="48" t="s">
        <v>422</v>
      </c>
      <c r="I21" s="50"/>
      <c r="J21" s="4" t="s">
        <v>34</v>
      </c>
      <c r="L21" s="4">
        <f>+IF(C23&lt;9,(C23/8),IF(C23=9,1.128,IF(C23=10,1.27,IF(C23=11,1.41,IF(C23=14,1.693,0)))))</f>
        <v>1.1279999999999999</v>
      </c>
      <c r="M21" s="4" t="s">
        <v>20</v>
      </c>
      <c r="N21" s="4" t="s">
        <v>37</v>
      </c>
      <c r="P21" s="4">
        <f>+IF(C24&lt;9,(C24/8),IF(C24=9,1.128,IF(C24=10,1.27,IF(C24=11,1.41,IF(C24=14,1.693,0)))))</f>
        <v>1.27</v>
      </c>
      <c r="Q21" s="4" t="s">
        <v>20</v>
      </c>
    </row>
    <row r="22" spans="1:21" ht="17.25" x14ac:dyDescent="0.25">
      <c r="A22" s="45"/>
      <c r="B22" s="46" t="s">
        <v>427</v>
      </c>
      <c r="C22" s="54">
        <f>2*C18/12+3*C17</f>
        <v>12.5</v>
      </c>
      <c r="D22" s="48" t="s">
        <v>422</v>
      </c>
      <c r="I22" s="50"/>
      <c r="J22" s="4" t="s">
        <v>36</v>
      </c>
      <c r="L22" s="4">
        <f>3.1415*L21^2/4</f>
        <v>0.99929858399999982</v>
      </c>
      <c r="M22" s="4" t="s">
        <v>35</v>
      </c>
      <c r="N22" s="4" t="s">
        <v>38</v>
      </c>
      <c r="P22" s="4">
        <f>3.1415*P21^2/4</f>
        <v>1.2667313375</v>
      </c>
      <c r="Q22" s="4" t="s">
        <v>35</v>
      </c>
    </row>
    <row r="23" spans="1:21" x14ac:dyDescent="0.25">
      <c r="A23" s="45"/>
      <c r="B23" s="46" t="s">
        <v>428</v>
      </c>
      <c r="C23" s="47">
        <v>9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21" x14ac:dyDescent="0.25">
      <c r="A24" s="45"/>
      <c r="B24" s="46" t="s">
        <v>429</v>
      </c>
      <c r="C24" s="52">
        <v>10</v>
      </c>
      <c r="D24" s="48"/>
      <c r="E24" s="49"/>
      <c r="F24" s="49"/>
      <c r="G24" s="49"/>
      <c r="H24" s="49"/>
      <c r="I24" s="50"/>
    </row>
    <row r="25" spans="1:21" ht="18" x14ac:dyDescent="0.35">
      <c r="A25" s="45"/>
      <c r="B25" s="46" t="s">
        <v>430</v>
      </c>
      <c r="C25" s="57">
        <f>+C20-C14-C15-P21-0.5*L21</f>
        <v>47.165999999999997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21" ht="18" x14ac:dyDescent="0.35">
      <c r="A26" s="45"/>
      <c r="B26" s="46" t="s">
        <v>431</v>
      </c>
      <c r="C26" s="58">
        <f>+C20-C14-C15-P21/2</f>
        <v>48.365000000000002</v>
      </c>
      <c r="D26" s="48" t="s">
        <v>0</v>
      </c>
      <c r="E26" s="49"/>
      <c r="F26" s="49"/>
      <c r="G26" s="49"/>
      <c r="H26" s="49"/>
      <c r="I26" s="50"/>
      <c r="O26" s="93"/>
      <c r="P26" s="93"/>
      <c r="Q26" s="93"/>
      <c r="R26" s="93"/>
      <c r="S26" s="93"/>
      <c r="T26" s="93"/>
      <c r="U26" s="93"/>
    </row>
    <row r="27" spans="1:21" ht="18" x14ac:dyDescent="0.35">
      <c r="A27" s="45"/>
      <c r="B27" s="46" t="s">
        <v>432</v>
      </c>
      <c r="C27" s="54">
        <f>+C20-C14-C15-1</f>
        <v>48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11.283958068551208</v>
      </c>
      <c r="O27" s="93"/>
      <c r="P27" s="93"/>
      <c r="Q27" s="93"/>
      <c r="R27" s="93"/>
      <c r="S27" s="93"/>
      <c r="T27" s="93"/>
      <c r="U27" s="93"/>
    </row>
    <row r="28" spans="1:21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  <c r="O28" s="93"/>
      <c r="P28" s="93"/>
      <c r="Q28" s="93"/>
      <c r="R28" s="93"/>
      <c r="S28" s="93"/>
      <c r="T28" s="93"/>
      <c r="U28" s="93"/>
    </row>
    <row r="29" spans="1:21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M29" s="4">
        <f>+IF(C8="Round",C16,L27)</f>
        <v>10</v>
      </c>
    </row>
    <row r="30" spans="1:21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21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21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48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24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58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8745.9360000000015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34.154973251449455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1916.1385734786013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1628.717787456811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298.7172101388889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1.6*18*C13-1.6*C21*C22*C20/12*0.15</f>
        <v>5558.5659999999998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0.18340636569416113</v>
      </c>
    </row>
    <row r="41" spans="1:25" x14ac:dyDescent="0.25">
      <c r="A41" s="45"/>
      <c r="B41" s="46" t="s">
        <v>433</v>
      </c>
      <c r="C41" s="58">
        <f>+(C40/4)^0.5</f>
        <v>37.277895595111055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38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1.6*C13*(3*(0.5*C17*12+C11-C42/4))+1.6*C13*(2*(1*C17*12+C11-C42/4))+1.6*C13*(3*(1.5*C17*12+C11-C42/4))-1.6*(C22/2-C42/12/4)*C21*C20/12*0.15*(C22/2-C42/12/4)*12/2</f>
        <v>72639.325938333335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5228.8602028745563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47.165999999999997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2.1553735567007379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29.942449449686649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39.923265932915534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21.533057447408041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26.209202879999999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26.209202879999999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17.403897600000001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29.942449449686649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1.1113599999999999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0.94725674446802066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9.3868235294117657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31.52171171226485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3.5640000000000001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31.52171171226485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3.5640000000000001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3.5640000000000001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37.069862691949638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53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31.543837064283135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18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37.069862691949638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53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1.6*C13*(3*(0.866*C17*12+C11-C42/4))+1.6*C13*(4*(0.866*C17*12+0.866*C17*12+C11-C42/4))-1.6*(C21/2-C42/12/4)*C22*C20/12*0.15*(C21/2-C42/12/4)*12/2</f>
        <v>91884.323766333342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7350.7459013066673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48.365000000000002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3.0038338503980846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10.194999999999999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37.547923129976056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3.6349999999999998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50.063897506634738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3.6349999999999998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19.867951120303019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24.182500000000001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24.182500000000001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15.66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37.547923129976056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3.6349999999999998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41.736458881893654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41.736458881893654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61.352000000000004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61.352000000000004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29.641583829511958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15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48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43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24</v>
      </c>
      <c r="C87" s="48" t="s">
        <v>0</v>
      </c>
      <c r="D87" s="49"/>
      <c r="E87" s="49"/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+C17*12*0.5+C11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+IF(M86&gt;O91,0,IF(M86&gt;O89,8,IF(M86&gt;O88,10,IF(M86&gt;O90,14,IF(M86&gt;O87,16,18)))))</f>
        <v>10</v>
      </c>
      <c r="F88" s="49"/>
      <c r="G88" s="49"/>
      <c r="H88" s="49"/>
      <c r="I88" s="50"/>
      <c r="J88" s="4" t="s">
        <v>251</v>
      </c>
      <c r="K88" s="64"/>
      <c r="L88" s="64"/>
      <c r="M88" s="64"/>
      <c r="N88" s="64"/>
      <c r="O88" s="64">
        <f>+C17*12+C11</f>
        <v>39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266</v>
      </c>
      <c r="K89" s="64"/>
      <c r="L89" s="64"/>
      <c r="M89" s="64"/>
      <c r="N89" s="64"/>
      <c r="O89" s="64">
        <f>1.5*C17*12+C11</f>
        <v>57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344</v>
      </c>
      <c r="C90" s="48" t="s">
        <v>0</v>
      </c>
      <c r="D90" s="49"/>
      <c r="E90" s="49"/>
      <c r="F90" s="49"/>
      <c r="G90" s="49"/>
      <c r="H90" s="49"/>
      <c r="I90" s="50"/>
      <c r="J90" s="4" t="s">
        <v>241</v>
      </c>
      <c r="K90" s="64"/>
      <c r="L90" s="64"/>
      <c r="M90" s="64"/>
      <c r="N90" s="64"/>
      <c r="O90" s="64">
        <f>+C17*12*0.866+C11</f>
        <v>34.176000000000002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3617.5979478101208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242</v>
      </c>
      <c r="K91" s="64"/>
      <c r="L91" s="64"/>
      <c r="M91" s="64"/>
      <c r="N91" s="64"/>
      <c r="O91" s="64">
        <f>+C17*12*(0.866+0.866)+C11</f>
        <v>65.352000000000004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3074.9582556386026</v>
      </c>
      <c r="C92" s="48" t="s">
        <v>18</v>
      </c>
      <c r="D92" s="49"/>
      <c r="E92" s="49"/>
      <c r="F92" s="49"/>
      <c r="G92" s="49"/>
      <c r="H92" s="49"/>
      <c r="I92" s="50"/>
      <c r="L92" s="4" t="s">
        <v>83</v>
      </c>
      <c r="O92" s="4">
        <f>+B89</f>
        <v>219.08902300206645</v>
      </c>
      <c r="P92" s="4" t="s">
        <v>5</v>
      </c>
    </row>
    <row r="93" spans="1:17" ht="18" x14ac:dyDescent="0.35">
      <c r="A93" s="68" t="s">
        <v>58</v>
      </c>
      <c r="B93" s="79">
        <f>+E88*1.6*C13-1.6*0.15*C21*C22*C20/12+1.6*0.15*(2*M86)/12*(2*M86)/12*C20/12+1.6*2*U26*U27*C20/12*0.15</f>
        <v>3058.1448888888885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0.99453216422730839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48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67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+IF(M98&gt;O100,0,IF(M98&gt;O99,4,7))</f>
        <v>0</v>
      </c>
      <c r="F99" s="49"/>
      <c r="G99" s="49"/>
      <c r="H99" s="49"/>
      <c r="I99" s="50"/>
      <c r="J99" s="4" t="s">
        <v>244</v>
      </c>
      <c r="K99" s="64"/>
      <c r="L99" s="64"/>
      <c r="M99" s="64"/>
      <c r="N99" s="64"/>
      <c r="O99" s="64">
        <f>0.866*C17*12+C11</f>
        <v>34.176000000000002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245</v>
      </c>
      <c r="K100" s="64"/>
      <c r="L100" s="64"/>
      <c r="M100" s="64"/>
      <c r="N100" s="64"/>
      <c r="O100" s="64">
        <f>(0.866+0.866)*C17*12+C11</f>
        <v>65.352000000000004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7200</v>
      </c>
      <c r="C101" s="48" t="s">
        <v>436</v>
      </c>
      <c r="D101" s="49"/>
      <c r="E101" s="49"/>
      <c r="F101" s="49"/>
      <c r="G101" s="49"/>
      <c r="H101" s="49"/>
      <c r="I101" s="50"/>
      <c r="K101" s="64"/>
      <c r="L101" s="64"/>
      <c r="M101" s="64"/>
      <c r="N101" s="64"/>
      <c r="O101" s="64"/>
    </row>
    <row r="102" spans="1:17" ht="18.75" x14ac:dyDescent="0.35">
      <c r="A102" s="68" t="s">
        <v>7</v>
      </c>
      <c r="B102" s="79">
        <f>+B100*B101/1000</f>
        <v>788.72048280743934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670.41241038632347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</f>
        <v>-19.758666666666667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-2.9472405881151253E-2</v>
      </c>
      <c r="C105" s="49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48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67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+IF(M109&gt;O112,0,IF(M109&gt;O111,3,IF(M109&gt;O110,5,8)))</f>
        <v>0</v>
      </c>
      <c r="F110" s="49"/>
      <c r="G110" s="49"/>
      <c r="H110" s="49"/>
      <c r="I110" s="50"/>
      <c r="J110" s="4" t="s">
        <v>252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253</v>
      </c>
      <c r="K111" s="64"/>
      <c r="L111" s="64"/>
      <c r="M111" s="64"/>
      <c r="N111" s="64"/>
      <c r="O111" s="64">
        <f>C17*12+C11</f>
        <v>39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+C21*12*B109</f>
        <v>8001.7920000000004</v>
      </c>
      <c r="C112" s="48" t="s">
        <v>436</v>
      </c>
      <c r="D112" s="49"/>
      <c r="E112" s="49"/>
      <c r="F112" s="49"/>
      <c r="G112" s="49"/>
      <c r="H112" s="49"/>
      <c r="I112" s="50"/>
      <c r="J112" s="4" t="s">
        <v>267</v>
      </c>
      <c r="K112" s="64"/>
      <c r="L112" s="64"/>
      <c r="M112" s="64"/>
      <c r="N112" s="64"/>
      <c r="O112" s="64">
        <f>1.5*C17*12+C11</f>
        <v>57</v>
      </c>
      <c r="P112" s="4" t="s">
        <v>0</v>
      </c>
      <c r="Q112" s="4" t="s">
        <v>120</v>
      </c>
    </row>
    <row r="113" spans="1:23" ht="18.75" x14ac:dyDescent="0.35">
      <c r="A113" s="68" t="s">
        <v>7</v>
      </c>
      <c r="B113" s="79">
        <f>+B111*B112/1000</f>
        <v>876.5523957728758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745.06953640694439</v>
      </c>
      <c r="C114" s="48" t="s">
        <v>18</v>
      </c>
      <c r="D114" s="49"/>
      <c r="E114" s="49"/>
      <c r="F114" s="49"/>
      <c r="G114" s="49"/>
      <c r="H114" s="49"/>
      <c r="I114" s="50"/>
      <c r="L114" s="4" t="s">
        <v>83</v>
      </c>
      <c r="O114" s="4">
        <f>+B111</f>
        <v>109.54451150103323</v>
      </c>
      <c r="P114" s="4" t="s">
        <v>5</v>
      </c>
    </row>
    <row r="115" spans="1:23" ht="18" x14ac:dyDescent="0.35">
      <c r="A115" s="68" t="s">
        <v>58</v>
      </c>
      <c r="B115" s="79">
        <f>+E110*C13*1.6-1.6*0.15*C21*C22*C20/12*((C22/2-M109/12)/C22)</f>
        <v>-10.74314666666667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-1.4418985264751107E-2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8.5879999999999992</v>
      </c>
      <c r="W126" s="4" t="s">
        <v>0</v>
      </c>
    </row>
    <row r="127" spans="1:23" ht="18" x14ac:dyDescent="0.35">
      <c r="A127" s="68" t="s">
        <v>1</v>
      </c>
      <c r="B127" s="53">
        <f>+B86</f>
        <v>48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5570.1982222222223</v>
      </c>
      <c r="W127" s="49" t="s">
        <v>8</v>
      </c>
    </row>
    <row r="128" spans="1:23" ht="18.75" x14ac:dyDescent="0.35">
      <c r="A128" s="68" t="s">
        <v>54</v>
      </c>
      <c r="B128" s="54">
        <f>+B127/2</f>
        <v>24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18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2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+C17*12*0.866-C42/2+C11</f>
        <v>15.175999999999998</v>
      </c>
      <c r="S130" s="4" t="s">
        <v>0</v>
      </c>
      <c r="U130" s="49" t="s">
        <v>11</v>
      </c>
      <c r="V130" s="49">
        <f>+B134</f>
        <v>344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5570.1982222222223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+C13*E129*1.6-1.6*0.15*C21*C22*C20/12+1.6*0.15*(C42)/12*(C42)/12*C20/12+1.6*2*U26*U27*C20/12*0.15</f>
        <v>5570.1982222222223</v>
      </c>
      <c r="S131" s="49" t="s">
        <v>8</v>
      </c>
      <c r="T131" s="49"/>
      <c r="U131" s="49" t="s">
        <v>2</v>
      </c>
      <c r="V131" s="49">
        <f>+B135</f>
        <v>152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25.298458068786314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10109.728778230428</v>
      </c>
      <c r="W133" s="49" t="s">
        <v>8</v>
      </c>
    </row>
    <row r="134" spans="1:23" ht="18" x14ac:dyDescent="0.35">
      <c r="A134" s="68" t="s">
        <v>11</v>
      </c>
      <c r="B134" s="58">
        <f>4*(B127+C42)</f>
        <v>344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344</v>
      </c>
      <c r="S134" s="49" t="s">
        <v>0</v>
      </c>
      <c r="T134" s="49"/>
      <c r="U134" s="45" t="s">
        <v>12</v>
      </c>
      <c r="V134" s="49">
        <f>+V133*0.85</f>
        <v>8593.2694614958637</v>
      </c>
      <c r="W134" s="49" t="s">
        <v>8</v>
      </c>
    </row>
    <row r="135" spans="1:23" ht="18" x14ac:dyDescent="0.35">
      <c r="A135" s="68" t="s">
        <v>2</v>
      </c>
      <c r="B135" s="58">
        <f>4*C42</f>
        <v>152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152</v>
      </c>
      <c r="S135" s="49" t="s">
        <v>0</v>
      </c>
      <c r="T135" s="49"/>
      <c r="U135" s="45" t="s">
        <v>14</v>
      </c>
      <c r="V135" s="49">
        <f>+V127/V134</f>
        <v>0.64820476620461942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14.316233387897789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12787.788094584614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23.158116693948894</v>
      </c>
      <c r="Q137" s="49" t="s">
        <v>7</v>
      </c>
      <c r="R137" s="49">
        <f>+R136*(C9*1000)^0.5*R135*B127/1000</f>
        <v>5721.0299649079407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10869.619880396922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9254.4090297462772</v>
      </c>
      <c r="Q138" s="49" t="s">
        <v>12</v>
      </c>
      <c r="R138" s="49">
        <f>+R137*0.85</f>
        <v>4862.8754701717498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0.51245565930671877</v>
      </c>
      <c r="C139" s="48"/>
      <c r="D139" s="110" t="s">
        <v>235</v>
      </c>
      <c r="F139" s="4" t="s">
        <v>14</v>
      </c>
      <c r="G139" s="88">
        <f>+(B139+R139)/2</f>
        <v>0.82895463053373342</v>
      </c>
      <c r="H139" s="49"/>
      <c r="I139" s="50"/>
      <c r="K139" s="4">
        <f>+R131/K138</f>
        <v>0.60189669640903443</v>
      </c>
      <c r="Q139" s="49" t="s">
        <v>14</v>
      </c>
      <c r="R139" s="49">
        <f>+R131/R138</f>
        <v>1.1454536017607482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48.365000000000002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+C17*12*0.866-C42/2+C11</f>
        <v>15.175999999999998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0.31378062648609528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7*1.6*C13-1.6*0.15*C21*C22*C20/12*((C21/2-C42/2/12)/C21)</f>
        <v>2162.2413333333334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1.6*C13*(3*B144)+1.6*C13*(4*(B144+0.866*C17*12))-1.6*0.15*C21*C22*C20/12*((C21/2-C42/2/12)/C21)*(C21/2-C42/2/12)*12/2</f>
        <v>71397.557141333324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1.4647112068505954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0.68272844184089232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3377.5516904515134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0.64018008649462987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47.165999999999997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+C17*12*0.5-C42/2+C11</f>
        <v>2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4.2403426196836708E-2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8*1.6*C13-1.6*0.15*C21*C22*C20/12*((C22/2-C42/2/12)/C22)</f>
        <v>2484.7979733333332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1.6*C13*(3*B157)+1.6*C13*(2*(B157+0.5*C17*12))+1.6*C13*(3*(B157+1*C17*12))-1.6*0.15*C21*C22*C20/12*((C22/2-C42/2/12)/C22)*(C22/2-C42/2/12)*12/2</f>
        <v>49094.343253333333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2.387199287003043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0.4189009294047788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3660.619766059368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0.67879160692185225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48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+C22*C21*C20/12/27-2*U26*U27*C20/12/27</f>
        <v>31.085493827160494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24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58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8745.9360000000015</v>
      </c>
      <c r="U171" s="4" t="s">
        <v>35</v>
      </c>
    </row>
    <row r="172" spans="1:32" ht="18.75" x14ac:dyDescent="0.35">
      <c r="A172" s="45"/>
      <c r="B172" s="53">
        <f>+C65</f>
        <v>18</v>
      </c>
      <c r="C172" s="48" t="s">
        <v>71</v>
      </c>
      <c r="D172" s="83" t="str">
        <f>"#"&amp;+C23</f>
        <v>#9</v>
      </c>
      <c r="E172" s="49" t="s">
        <v>72</v>
      </c>
      <c r="F172" s="49" t="s">
        <v>73</v>
      </c>
      <c r="G172" s="57">
        <f>+C22-0.5</f>
        <v>12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34.154973251449455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1.3825050000000001</v>
      </c>
      <c r="H173" s="48" t="s">
        <v>74</v>
      </c>
      <c r="I173" s="50"/>
      <c r="Q173" s="4" t="s">
        <v>7</v>
      </c>
      <c r="R173" s="4">
        <f>+R172*T171/1000</f>
        <v>1916.1385734786013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734.48445923999998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1628.717787456811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298.7172101388889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15</v>
      </c>
      <c r="C176" s="48" t="s">
        <v>71</v>
      </c>
      <c r="D176" s="83" t="str">
        <f>"#"&amp;+C24</f>
        <v>#10</v>
      </c>
      <c r="E176" s="49" t="s">
        <v>72</v>
      </c>
      <c r="F176" s="49" t="s">
        <v>73</v>
      </c>
      <c r="G176" s="57">
        <f>+C21-0.5</f>
        <v>13.391999999999999</v>
      </c>
      <c r="H176" s="48" t="s">
        <v>74</v>
      </c>
      <c r="I176" s="50"/>
      <c r="Q176" s="4" t="s">
        <v>14</v>
      </c>
      <c r="R176" s="4">
        <f>+R175/R174</f>
        <v>0.18340636569416113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1.5565437500000003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865.87420574812495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48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1600.3586649881249</v>
      </c>
      <c r="D180" s="48" t="s">
        <v>78</v>
      </c>
      <c r="E180" s="49" t="s">
        <v>79</v>
      </c>
      <c r="F180" s="88">
        <f>+C180/2000</f>
        <v>0.80017933249406248</v>
      </c>
      <c r="G180" s="48" t="s">
        <v>19</v>
      </c>
      <c r="H180" s="49"/>
      <c r="I180" s="50"/>
      <c r="Q180" s="4" t="s">
        <v>54</v>
      </c>
      <c r="T180" s="4">
        <f>+T179/2</f>
        <v>24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182.20700000000002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12201.936000000002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49.328009107643972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2673.310236973743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2272.3137014276817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601.89721013888891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0.26488297357918511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48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24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87.551749999999998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4202.4840000000004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71.699294005177791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920.71811374181641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782.61039668054389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301.31513586805556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0.38501294788069407</v>
      </c>
      <c r="T199" s="4" t="s">
        <v>146</v>
      </c>
      <c r="V199" s="4">
        <f>+(C18*C18+C18*T170+3.1415*T170^2/4/4)/144</f>
        <v>16.107641493055556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48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95.3964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4579.0272000000004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65.881462724727712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501.60729777394403</v>
      </c>
      <c r="S207" s="4" t="s">
        <v>8</v>
      </c>
      <c r="T207" s="4" t="s">
        <v>93</v>
      </c>
    </row>
    <row r="208" spans="1:58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426.36620310785241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301.6730097923143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0.70754437756410049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271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40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80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8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21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21" x14ac:dyDescent="0.25">
      <c r="A18" s="45"/>
      <c r="B18" s="46" t="s">
        <v>423</v>
      </c>
      <c r="C18" s="55">
        <f>+IF(C12&lt;61,15,IF(C12&lt;121,21,IF(C12&lt;201,27,IF(C12&lt;281,30,36))))</f>
        <v>15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21" ht="18" x14ac:dyDescent="0.35">
      <c r="A19" s="45"/>
      <c r="B19" s="46" t="s">
        <v>424</v>
      </c>
      <c r="C19" s="54">
        <f>17+30/200*C12</f>
        <v>23</v>
      </c>
      <c r="D19" s="48" t="s">
        <v>0</v>
      </c>
      <c r="E19" s="49"/>
      <c r="F19" s="49"/>
      <c r="G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18.678525000000004</v>
      </c>
    </row>
    <row r="20" spans="1:21" ht="18" x14ac:dyDescent="0.35">
      <c r="A20" s="45"/>
      <c r="B20" s="46" t="s">
        <v>425</v>
      </c>
      <c r="C20" s="56">
        <v>54</v>
      </c>
      <c r="D20" s="48" t="s">
        <v>0</v>
      </c>
      <c r="E20" s="49"/>
      <c r="F20" s="49"/>
      <c r="G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21" x14ac:dyDescent="0.25">
      <c r="A21" s="45"/>
      <c r="B21" s="46" t="s">
        <v>426</v>
      </c>
      <c r="C21" s="53">
        <f>2*C18/12+2*C17*0.866+2*C17</f>
        <v>13.696</v>
      </c>
      <c r="D21" s="48" t="s">
        <v>422</v>
      </c>
      <c r="I21" s="50"/>
      <c r="J21" s="4" t="s">
        <v>34</v>
      </c>
      <c r="L21" s="4">
        <f>+IF(C23&lt;9,(C23/8),IF(C23=9,1.128,IF(C23=10,1.27,IF(C23=11,1.41,IF(C23=14,1.693,0)))))</f>
        <v>1.27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21" ht="17.25" x14ac:dyDescent="0.25">
      <c r="A22" s="45"/>
      <c r="B22" s="46" t="s">
        <v>427</v>
      </c>
      <c r="C22" s="54">
        <f>2*C18/12+3*C17</f>
        <v>11.5</v>
      </c>
      <c r="D22" s="48" t="s">
        <v>422</v>
      </c>
      <c r="I22" s="50"/>
      <c r="J22" s="4" t="s">
        <v>36</v>
      </c>
      <c r="L22" s="4">
        <f>3.1415*L21^2/4</f>
        <v>1.2667313375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21" x14ac:dyDescent="0.25">
      <c r="A23" s="45"/>
      <c r="B23" s="46" t="s">
        <v>428</v>
      </c>
      <c r="C23" s="47">
        <v>10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21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21" ht="18" x14ac:dyDescent="0.35">
      <c r="A25" s="45"/>
      <c r="B25" s="46" t="s">
        <v>430</v>
      </c>
      <c r="C25" s="57">
        <f>+C20-C14-C15-P21-0.5*L21</f>
        <v>42.955000000000005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21" ht="18" x14ac:dyDescent="0.35">
      <c r="A26" s="45"/>
      <c r="B26" s="46" t="s">
        <v>431</v>
      </c>
      <c r="C26" s="58">
        <f>+C20-C14-C15-P21/2</f>
        <v>44.295000000000002</v>
      </c>
      <c r="D26" s="48" t="s">
        <v>0</v>
      </c>
      <c r="E26" s="49"/>
      <c r="F26" s="49"/>
      <c r="G26" s="49"/>
      <c r="H26" s="49"/>
      <c r="I26" s="50"/>
      <c r="O26" s="93"/>
      <c r="P26" s="93"/>
      <c r="Q26" s="93"/>
      <c r="R26" s="93"/>
      <c r="S26" s="93"/>
      <c r="T26" s="93"/>
      <c r="U26" s="93"/>
    </row>
    <row r="27" spans="1:21" ht="18" x14ac:dyDescent="0.35">
      <c r="A27" s="45"/>
      <c r="B27" s="46" t="s">
        <v>432</v>
      </c>
      <c r="C27" s="54">
        <f>+C20-C14-C15-1</f>
        <v>44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9.027166454840966</v>
      </c>
      <c r="O27" s="93"/>
      <c r="P27" s="93"/>
      <c r="Q27" s="93"/>
      <c r="R27" s="93"/>
      <c r="S27" s="93"/>
      <c r="T27" s="93"/>
      <c r="U27" s="93"/>
    </row>
    <row r="28" spans="1:21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  <c r="O28" s="93"/>
      <c r="P28" s="93"/>
      <c r="Q28" s="93"/>
      <c r="R28" s="93"/>
      <c r="S28" s="93"/>
      <c r="T28" s="93"/>
      <c r="U28" s="93"/>
    </row>
    <row r="29" spans="1:21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M29" s="4">
        <f>+IF(C8="Round",C16,L27)</f>
        <v>8</v>
      </c>
    </row>
    <row r="30" spans="1:21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21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21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44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22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52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7187.7520000000004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15.592162194800267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1574.7575632611492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1338.5439287719769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112.07259500000001</v>
      </c>
      <c r="L39" s="4" t="s">
        <v>8</v>
      </c>
      <c r="M39" s="4" t="s">
        <v>350</v>
      </c>
    </row>
    <row r="40" spans="1:25" ht="18" x14ac:dyDescent="0.35">
      <c r="A40" s="45" t="s">
        <v>23</v>
      </c>
      <c r="B40" s="46" t="s">
        <v>23</v>
      </c>
      <c r="C40" s="69">
        <f>1.6*19*C13-1.6*C21*C22*C20/12*0.15</f>
        <v>2261.8956800000001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8.3727244650699653E-2</v>
      </c>
    </row>
    <row r="41" spans="1:25" x14ac:dyDescent="0.25">
      <c r="A41" s="45" t="s">
        <v>22</v>
      </c>
      <c r="B41" s="46" t="s">
        <v>433</v>
      </c>
      <c r="C41" s="58">
        <f>+(C40/4)^0.5</f>
        <v>23.779695540523644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 t="s">
        <v>24</v>
      </c>
      <c r="B42" s="46" t="s">
        <v>24</v>
      </c>
      <c r="C42" s="54">
        <f>MAX(ROUNDUP(C41,0),10)</f>
        <v>24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1.6*C13*(4*(0.5*C17*12+C11-C42/4))+1.6*C13*(1*(1*C17*12+C11-C42/4))+1.6*C13*(4*(1.5*C17*12+C11-C42/4))-1.6*(C22/2-C42/12/4)*C21*C20/12*0.15*(C22/2-C42/12/4)*12/2</f>
        <v>35569.825920000003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2597.0959345794395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42.955000000000005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1.1549606272055399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15.818340750207074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21.0911210002761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19.333894678785654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23.532467199999999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23.532467199999999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15.975014399999999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21.0911210002761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1.1909565217391305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0.91284330846166062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9.8176249999999996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17.197014995621217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3.6349999999999998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21.0911210002761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3.6349999999999998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3.6349999999999998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41.736458881893654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54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16.650034917349711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17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41.736458881893654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54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1.6*C13*(4*(0.866*C17*12+C11-C42/4))+1.6*C13*(4*(0.866*C17*12+C17*12+C11-C42/4))-1.6*(C21/2-C42/12/4)*C22*C20/12*0.15*(C21/2-C42/12/4)*12/2</f>
        <v>44281.283809920002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3850.5464182539131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44.295000000000002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1.6773703799392301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10.8825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19.289759369301144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25.719679159068193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3.7050000000000001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16.740345772437021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20.375700000000002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20.375700000000002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13.413600000000001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20.375700000000002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3.7050000000000001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46.337328364937051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46.337328364937051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67.176000000000002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67.176000000000002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13.049601199074651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13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44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34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22</v>
      </c>
      <c r="C87" s="48" t="s">
        <v>0</v>
      </c>
      <c r="D87" s="49"/>
      <c r="E87" s="49"/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+C17*12*0.5+C11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+IF(M86&gt;O91,0,IF(M86&gt;O89,8,IF(M86&gt;O88,12,IF(M86&gt;O90,14,18))))</f>
        <v>18</v>
      </c>
      <c r="F88" s="49"/>
      <c r="G88" s="49"/>
      <c r="H88" s="49"/>
      <c r="I88" s="50"/>
      <c r="J88" s="4" t="s">
        <v>251</v>
      </c>
      <c r="K88" s="64"/>
      <c r="L88" s="64"/>
      <c r="M88" s="64"/>
      <c r="N88" s="64"/>
      <c r="O88" s="64">
        <f>+C17*12+C11</f>
        <v>39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266</v>
      </c>
      <c r="K89" s="64"/>
      <c r="L89" s="64"/>
      <c r="M89" s="64"/>
      <c r="N89" s="64"/>
      <c r="O89" s="64">
        <f>1.5*C17*12+C11</f>
        <v>57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272</v>
      </c>
      <c r="C90" s="48" t="s">
        <v>0</v>
      </c>
      <c r="D90" s="49"/>
      <c r="E90" s="49"/>
      <c r="F90" s="49"/>
      <c r="G90" s="49"/>
      <c r="H90" s="49"/>
      <c r="I90" s="50"/>
      <c r="J90" s="4" t="s">
        <v>241</v>
      </c>
      <c r="K90" s="64"/>
      <c r="L90" s="64"/>
      <c r="M90" s="64"/>
      <c r="N90" s="64"/>
      <c r="O90" s="64">
        <f>+C17*12*0.866+C11</f>
        <v>34.176000000000002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2622.0574272887311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242</v>
      </c>
      <c r="K91" s="64"/>
      <c r="L91" s="64"/>
      <c r="M91" s="64"/>
      <c r="N91" s="64"/>
      <c r="O91" s="64">
        <f>+C17*12*(0.866+1)+C11</f>
        <v>70.176000000000002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2228.7488131954215</v>
      </c>
      <c r="C92" s="48" t="s">
        <v>18</v>
      </c>
      <c r="D92" s="49"/>
      <c r="E92" s="49"/>
      <c r="F92" s="49"/>
      <c r="G92" s="49"/>
      <c r="H92" s="49"/>
      <c r="I92" s="50"/>
      <c r="L92" s="4" t="s">
        <v>83</v>
      </c>
      <c r="O92" s="4">
        <f>+B89</f>
        <v>219.08902300206645</v>
      </c>
      <c r="P92" s="4" t="s">
        <v>5</v>
      </c>
    </row>
    <row r="93" spans="1:17" ht="18" x14ac:dyDescent="0.35">
      <c r="A93" s="68" t="s">
        <v>58</v>
      </c>
      <c r="B93" s="79">
        <f>+E88*1.6*C13-1.6*0.15*C21*C22*C20/12+1.6*0.15*(2*M86)/12*(2*M86)/12*C20/12+1.6*2*U26*U27*C20/12*0.15</f>
        <v>2168.5756799999999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0.97300138407739656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44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56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+IF(M98&gt;O100,0,IF(M98&gt;O99,4,8))</f>
        <v>4</v>
      </c>
      <c r="F99" s="49"/>
      <c r="G99" s="49"/>
      <c r="H99" s="49"/>
      <c r="I99" s="50"/>
      <c r="J99" s="4" t="s">
        <v>244</v>
      </c>
      <c r="K99" s="64"/>
      <c r="L99" s="64"/>
      <c r="M99" s="64"/>
      <c r="N99" s="64"/>
      <c r="O99" s="64">
        <f>0.866*C17*12+C11</f>
        <v>34.176000000000002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245</v>
      </c>
      <c r="K100" s="64"/>
      <c r="L100" s="64"/>
      <c r="M100" s="64"/>
      <c r="N100" s="64"/>
      <c r="O100" s="64">
        <f>(1+0.866)*C17*12+C11</f>
        <v>70.176000000000016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6072</v>
      </c>
      <c r="C101" s="48" t="s">
        <v>436</v>
      </c>
      <c r="D101" s="49"/>
      <c r="E101" s="49"/>
      <c r="F101" s="49"/>
      <c r="G101" s="49"/>
      <c r="H101" s="49"/>
      <c r="I101" s="50"/>
      <c r="K101" s="64"/>
      <c r="L101" s="64"/>
      <c r="M101" s="64"/>
      <c r="N101" s="64"/>
      <c r="O101" s="64"/>
    </row>
    <row r="102" spans="1:17" ht="18.75" x14ac:dyDescent="0.35">
      <c r="A102" s="68" t="s">
        <v>7</v>
      </c>
      <c r="B102" s="79">
        <f>+B100*B101/1000</f>
        <v>665.15427383427379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565.3811327591327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</f>
        <v>484.90784000000002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0.85766540817092241</v>
      </c>
      <c r="C105" s="49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44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56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+IF(M109&gt;O112,0,IF(M109&gt;O111,4,IF(M109&gt;O110,5,9)))</f>
        <v>4</v>
      </c>
      <c r="F110" s="49"/>
      <c r="G110" s="49"/>
      <c r="H110" s="49"/>
      <c r="I110" s="50"/>
      <c r="J110" s="4" t="s">
        <v>252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253</v>
      </c>
      <c r="K111" s="64"/>
      <c r="L111" s="64"/>
      <c r="M111" s="64"/>
      <c r="N111" s="64"/>
      <c r="O111" s="64">
        <f>C17*12+C11</f>
        <v>39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+C21*12*B109</f>
        <v>7231.4880000000003</v>
      </c>
      <c r="C112" s="48" t="s">
        <v>436</v>
      </c>
      <c r="D112" s="49"/>
      <c r="E112" s="49"/>
      <c r="F112" s="49"/>
      <c r="G112" s="49"/>
      <c r="H112" s="49"/>
      <c r="I112" s="50"/>
      <c r="J112" s="4" t="s">
        <v>267</v>
      </c>
      <c r="K112" s="64"/>
      <c r="L112" s="64"/>
      <c r="M112" s="64"/>
      <c r="N112" s="64"/>
      <c r="O112" s="64">
        <f>1.5*C17*12+C11</f>
        <v>57</v>
      </c>
      <c r="P112" s="4" t="s">
        <v>0</v>
      </c>
      <c r="Q112" s="4" t="s">
        <v>120</v>
      </c>
    </row>
    <row r="113" spans="1:23" ht="18.75" x14ac:dyDescent="0.35">
      <c r="A113" s="68" t="s">
        <v>7</v>
      </c>
      <c r="B113" s="79">
        <f>+B111*B112/1000</f>
        <v>792.16982038558376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673.34434732774616</v>
      </c>
      <c r="C114" s="48" t="s">
        <v>18</v>
      </c>
      <c r="D114" s="49"/>
      <c r="E114" s="49"/>
      <c r="F114" s="49"/>
      <c r="G114" s="49"/>
      <c r="H114" s="49"/>
      <c r="I114" s="50"/>
      <c r="L114" s="4" t="s">
        <v>83</v>
      </c>
      <c r="O114" s="4">
        <f>+B111</f>
        <v>109.54451150103323</v>
      </c>
      <c r="P114" s="4" t="s">
        <v>5</v>
      </c>
    </row>
    <row r="115" spans="1:23" ht="18" x14ac:dyDescent="0.35">
      <c r="A115" s="68" t="s">
        <v>58</v>
      </c>
      <c r="B115" s="79">
        <f>+E110*C13*1.6-1.6*0.15*C21*C22*C20/12*((C22/2-M109/12)/C22)</f>
        <v>495.97568000000001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0.73658549591801492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15.587999999999999</v>
      </c>
      <c r="W126" s="4" t="s">
        <v>0</v>
      </c>
    </row>
    <row r="127" spans="1:23" ht="18" x14ac:dyDescent="0.35">
      <c r="A127" s="68" t="s">
        <v>1</v>
      </c>
      <c r="B127" s="53">
        <f>+B86</f>
        <v>44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2138.2156800000002</v>
      </c>
      <c r="W127" s="49" t="s">
        <v>8</v>
      </c>
    </row>
    <row r="128" spans="1:23" ht="18.75" x14ac:dyDescent="0.35">
      <c r="A128" s="68" t="s">
        <v>54</v>
      </c>
      <c r="B128" s="54">
        <f>+B127/2</f>
        <v>22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OK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18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9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+C17*12*0.866-C42/2+C11</f>
        <v>22.175999999999998</v>
      </c>
      <c r="S130" s="4" t="s">
        <v>0</v>
      </c>
      <c r="U130" s="49" t="s">
        <v>11</v>
      </c>
      <c r="V130" s="49">
        <f>+B134</f>
        <v>272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2138.2156800000002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+C13*E129*1.6-1.6*0.15*C21*C22*C20/12+1.6*0.15*(C42)/12*(C42)/12*C20/12+1.6*2*U26*U27*C20/12*0.15</f>
        <v>2138.2156800000002</v>
      </c>
      <c r="S131" s="49" t="s">
        <v>8</v>
      </c>
      <c r="T131" s="49"/>
      <c r="U131" s="49" t="s">
        <v>2</v>
      </c>
      <c r="V131" s="49">
        <f>+B135</f>
        <v>96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15.995209990591052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3700.6199256063696</v>
      </c>
      <c r="W133" s="49" t="s">
        <v>8</v>
      </c>
    </row>
    <row r="134" spans="1:23" ht="18" x14ac:dyDescent="0.35">
      <c r="A134" s="68" t="s">
        <v>11</v>
      </c>
      <c r="B134" s="58">
        <f>4*(B127+C42)</f>
        <v>272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272</v>
      </c>
      <c r="S134" s="49" t="s">
        <v>0</v>
      </c>
      <c r="T134" s="49"/>
      <c r="U134" s="45" t="s">
        <v>12</v>
      </c>
      <c r="V134" s="49">
        <f>+V133*0.85</f>
        <v>3145.5269367654141</v>
      </c>
      <c r="W134" s="49" t="s">
        <v>8</v>
      </c>
    </row>
    <row r="135" spans="1:23" ht="18" x14ac:dyDescent="0.35">
      <c r="A135" s="68" t="s">
        <v>2</v>
      </c>
      <c r="B135" s="58">
        <f>4*C42</f>
        <v>96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1517.3943444957936</v>
      </c>
      <c r="P135" s="4" t="s">
        <v>5</v>
      </c>
      <c r="Q135" s="49" t="s">
        <v>2</v>
      </c>
      <c r="R135" s="49">
        <f>+B135</f>
        <v>96</v>
      </c>
      <c r="S135" s="49" t="s">
        <v>0</v>
      </c>
      <c r="T135" s="49"/>
      <c r="U135" s="45" t="s">
        <v>14</v>
      </c>
      <c r="V135" s="49">
        <f>+V127/V134</f>
        <v>0.6797639069652206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27.703703703703702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11.243386243386242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6409.4737111502327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19.473544973544971</v>
      </c>
      <c r="Q137" s="49" t="s">
        <v>7</v>
      </c>
      <c r="R137" s="49">
        <f>+R136*(C9*1000)^0.5*R135*B127/1000</f>
        <v>2601.2474477070746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5448.0526544776976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4505.3605794286532</v>
      </c>
      <c r="Q138" s="49" t="s">
        <v>12</v>
      </c>
      <c r="R138" s="49">
        <f>+R137*0.85</f>
        <v>2211.0603305510135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0.39247338739331439</v>
      </c>
      <c r="C139" s="48"/>
      <c r="D139" s="110" t="s">
        <v>235</v>
      </c>
      <c r="F139" s="4" t="s">
        <v>14</v>
      </c>
      <c r="G139" s="88">
        <f>+(B139+R139)/2</f>
        <v>0.6797639069652206</v>
      </c>
      <c r="H139" s="49"/>
      <c r="I139" s="50"/>
      <c r="K139" s="4">
        <f>+R131/K138</f>
        <v>0.47459368507884397</v>
      </c>
      <c r="Q139" s="49" t="s">
        <v>14</v>
      </c>
      <c r="R139" s="49">
        <f>+R131/R138</f>
        <v>0.9670544265371267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44.295000000000002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+C17*12*0.866-C42/2+C11</f>
        <v>22.175999999999998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0.50064341347781915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8*1.6*C13-1.6*0.15*C21*C22*C20/12*((C21/2-C42/2/12)/C21)</f>
        <v>951.36784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1.6*C13*(4*B144)+1.6*C13*(4*(B144+1*C17*12))-1.6*0.15*C21*C22*C20/12*((C21/2-C42/2/12)/C21)*(C21/2-C42/2/12)*12/2</f>
        <v>38591.706769920005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1.0919661761538451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266.09574833502774</v>
      </c>
      <c r="P148" s="4" t="s">
        <v>5</v>
      </c>
    </row>
    <row r="149" spans="1:16" ht="18" x14ac:dyDescent="0.35">
      <c r="A149" s="68" t="s">
        <v>447</v>
      </c>
      <c r="B149" s="58">
        <f>1/B148</f>
        <v>0.91577928129809749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4.8582214606437475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1382.5812205342563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0.68810991055727844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42.955000000000005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+C17*12*0.5-C42/2+C11</f>
        <v>9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0.20952159236410195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9*1.6*C13-1.6*0.15*C21*C22*C20/12*((C22/2-C42/2/12)/C22)</f>
        <v>1081.7395200000001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1.6*C13*(4*B157)+1.6*C13*(1*(B157+0.5*C17*12))+1.6*C13*(4*(B157+1*C17*12))-1.6*0.15*C21*C22*C20/12*((C22/2-C42/2/12)/C22)*(C22/2-C42/2/12)*12/2</f>
        <v>29101.57632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1.5966874292533171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0.62629665749146968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3286.7620953935611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0.32912011536097235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44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+C22*C21*C20/12/27-2*U26*U27*C20/12/27</f>
        <v>26.250666666666667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22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52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7187.7520000000004</v>
      </c>
      <c r="U171" s="4" t="s">
        <v>35</v>
      </c>
    </row>
    <row r="172" spans="1:32" ht="18.75" x14ac:dyDescent="0.35">
      <c r="A172" s="45"/>
      <c r="B172" s="53">
        <f>+C65</f>
        <v>17</v>
      </c>
      <c r="C172" s="48" t="s">
        <v>71</v>
      </c>
      <c r="D172" s="83" t="str">
        <f>"#"&amp;+C23</f>
        <v>#10</v>
      </c>
      <c r="E172" s="49" t="s">
        <v>72</v>
      </c>
      <c r="F172" s="49" t="s">
        <v>73</v>
      </c>
      <c r="G172" s="57">
        <f>+C22-0.5</f>
        <v>11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15.592162194800267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1.5565437500000003</v>
      </c>
      <c r="H173" s="48" t="s">
        <v>74</v>
      </c>
      <c r="I173" s="50"/>
      <c r="Q173" s="4" t="s">
        <v>7</v>
      </c>
      <c r="R173" s="4">
        <f>+R172*T171/1000</f>
        <v>1574.7575632611492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806.04578093836813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1338.5439287719769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112.07259500000001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13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13.196</v>
      </c>
      <c r="H176" s="48" t="s">
        <v>74</v>
      </c>
      <c r="I176" s="50"/>
      <c r="Q176" s="4" t="s">
        <v>14</v>
      </c>
      <c r="R176" s="4">
        <f>+R175/R174</f>
        <v>8.3727244650699653E-2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911.45355912690638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44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1717.4993400652745</v>
      </c>
      <c r="D180" s="48" t="s">
        <v>78</v>
      </c>
      <c r="E180" s="49" t="s">
        <v>79</v>
      </c>
      <c r="F180" s="88">
        <f>+C180/2000</f>
        <v>0.85874967003263725</v>
      </c>
      <c r="G180" s="48" t="s">
        <v>19</v>
      </c>
      <c r="H180" s="49"/>
      <c r="I180" s="50"/>
      <c r="Q180" s="4" t="s">
        <v>54</v>
      </c>
      <c r="T180" s="4">
        <f>+T179/2</f>
        <v>22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163.358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10355.752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21.82676786775118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2268.8315881316962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1928.5068499119418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226.03259500000001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0.11720601096662994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44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22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70.839500000000001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3116.9380000000001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37.370216780057866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682.88690117801502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580.4538660013128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116.48064875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0.20067167362054672</v>
      </c>
      <c r="T199" s="4" t="s">
        <v>146</v>
      </c>
      <c r="V199" s="4">
        <f>+(C18*C18+C18*T170+3.1415*T170^2/4/4)/144</f>
        <v>10.666065972222222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44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76.425999999999988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3362.7439999999997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34.80742506330251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368.37014878303046</v>
      </c>
      <c r="S207" s="4" t="s">
        <v>8</v>
      </c>
      <c r="T207" s="4" t="s">
        <v>93</v>
      </c>
    </row>
    <row r="208" spans="1:58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313.1146264655759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117.04845978707013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0.37381984070277391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70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38" width="9.140625" style="4" hidden="1" customWidth="1"/>
    <col min="39" max="52" width="9.140625" style="4" customWidth="1"/>
    <col min="53" max="16384" width="9.140625" style="4"/>
  </cols>
  <sheetData>
    <row r="1" spans="1:17" ht="15.75" x14ac:dyDescent="0.25">
      <c r="A1" s="15" t="s">
        <v>105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x14ac:dyDescent="0.2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x14ac:dyDescent="0.2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351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4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 t="shared" ref="M9:M18" si="0">3.1415*L9^2/4</f>
        <v>0.11044335937500001</v>
      </c>
      <c r="N9" s="4">
        <f t="shared" ref="N9:N14" si="1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si="0"/>
        <v>0.19634375000000001</v>
      </c>
      <c r="N10" s="4">
        <f t="shared" si="1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0"/>
        <v>0.30678710937500003</v>
      </c>
      <c r="N11" s="4">
        <f t="shared" si="1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120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0"/>
        <v>0.44177343750000003</v>
      </c>
      <c r="N12" s="4">
        <f t="shared" si="1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240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0"/>
        <v>0.60130273437500004</v>
      </c>
      <c r="N13" s="4">
        <f t="shared" si="1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0"/>
        <v>0.78537500000000005</v>
      </c>
      <c r="N14" s="4">
        <f t="shared" si="1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0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12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0"/>
        <v>1.2667313375</v>
      </c>
      <c r="N16" s="4">
        <f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 t="shared" si="0"/>
        <v>1.5614040375</v>
      </c>
      <c r="N17" s="4">
        <f>-5*L17+3.1415*5*L17+MAX(4*L17,2.5)</f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 t="shared" si="0"/>
        <v>2.2510803083750002</v>
      </c>
      <c r="N18" s="4">
        <f>-5*L18+3.1415*5*L18+MAX(4*L18,2.5)</f>
        <v>24.899797500000005</v>
      </c>
    </row>
    <row r="19" spans="1:17" ht="18" x14ac:dyDescent="0.35">
      <c r="A19" s="45"/>
      <c r="B19" s="46" t="s">
        <v>424</v>
      </c>
      <c r="C19" s="54">
        <f>17+30/200*C12</f>
        <v>35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6.7830000000000004</v>
      </c>
    </row>
    <row r="20" spans="1:17" ht="18" x14ac:dyDescent="0.35">
      <c r="A20" s="45"/>
      <c r="B20" s="46" t="s">
        <v>425</v>
      </c>
      <c r="C20" s="56">
        <v>42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16.590060000000001</v>
      </c>
    </row>
    <row r="21" spans="1:17" x14ac:dyDescent="0.25">
      <c r="A21" s="45"/>
      <c r="B21" s="46" t="s">
        <v>426</v>
      </c>
      <c r="C21" s="53">
        <f>2*C18/12+C17</f>
        <v>6.5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0.5</v>
      </c>
      <c r="M21" s="4" t="s">
        <v>20</v>
      </c>
      <c r="N21" s="4" t="s">
        <v>37</v>
      </c>
      <c r="P21" s="4">
        <f>+IF(C24&lt;9,(C24/8),IF(C24=9,1.128,IF(C24=10,1.27,IF(C24=11,1.41,IF(C24=14,1.693,0)))))</f>
        <v>1.1279999999999999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</f>
        <v>3.5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0.19634375000000001</v>
      </c>
      <c r="M22" s="4" t="s">
        <v>35</v>
      </c>
      <c r="N22" s="4" t="s">
        <v>38</v>
      </c>
      <c r="P22" s="4">
        <f>3.1415*P21^2/4</f>
        <v>0.99929858399999982</v>
      </c>
      <c r="Q22" s="4" t="s">
        <v>35</v>
      </c>
    </row>
    <row r="23" spans="1:17" x14ac:dyDescent="0.25">
      <c r="A23" s="45"/>
      <c r="B23" s="46" t="s">
        <v>428</v>
      </c>
      <c r="C23" s="47">
        <v>4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9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31.622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32.436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32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13.540749682261449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12</v>
      </c>
    </row>
    <row r="30" spans="1:17" x14ac:dyDescent="0.25">
      <c r="A30" s="45" t="s">
        <v>123</v>
      </c>
      <c r="B30" s="49"/>
      <c r="C30" s="49"/>
      <c r="D30" s="49"/>
      <c r="E30" s="62" t="str">
        <f>+IF(C63&gt;C61,"OK; note that T&amp;S only","OK")</f>
        <v>OK</v>
      </c>
      <c r="F30" s="49"/>
      <c r="G30" s="49"/>
      <c r="H30" s="49"/>
      <c r="I30" s="50"/>
    </row>
    <row r="31" spans="1:17" ht="18.75" x14ac:dyDescent="0.3">
      <c r="A31" s="45" t="s">
        <v>124</v>
      </c>
      <c r="B31" s="49"/>
      <c r="C31" s="49"/>
      <c r="D31" s="49"/>
      <c r="E31" s="62" t="str">
        <f>+IF(C81&gt;C79,"NG; select smaller bar size","OK")</f>
        <v>OK</v>
      </c>
      <c r="F31" s="49"/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32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9"/>
      <c r="H33" s="49"/>
      <c r="I33" s="50"/>
      <c r="J33" s="4" t="s">
        <v>54</v>
      </c>
      <c r="M33" s="4">
        <f>+M32/2</f>
        <v>16</v>
      </c>
      <c r="N33" s="4" t="s">
        <v>0</v>
      </c>
      <c r="P33" s="64"/>
    </row>
    <row r="34" spans="1:25" x14ac:dyDescent="0.25">
      <c r="A34" s="45" t="s">
        <v>127</v>
      </c>
      <c r="B34" s="49"/>
      <c r="C34" s="62" t="s">
        <v>131</v>
      </c>
      <c r="D34" s="49"/>
      <c r="E34" s="49"/>
      <c r="F34" s="49"/>
      <c r="G34" s="49"/>
      <c r="H34" s="49"/>
      <c r="I34" s="50"/>
      <c r="J34" s="4" t="s">
        <v>114</v>
      </c>
      <c r="K34" s="64"/>
      <c r="M34" s="64">
        <f>+M29+M32</f>
        <v>44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">
        <v>131</v>
      </c>
      <c r="D35" s="49"/>
      <c r="E35" s="49"/>
      <c r="F35" s="49"/>
      <c r="G35" s="49"/>
      <c r="H35" s="49"/>
      <c r="I35" s="50"/>
      <c r="J35" s="4" t="s">
        <v>85</v>
      </c>
      <c r="K35" s="64"/>
      <c r="L35" s="64"/>
      <c r="M35" s="64">
        <f>+M34*3.1415*M32</f>
        <v>4423.232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+IF(B124&lt;1,"OK","NG")</f>
        <v>OK</v>
      </c>
      <c r="D36" s="49"/>
      <c r="E36" s="49"/>
      <c r="F36" s="49"/>
      <c r="G36" s="49"/>
      <c r="H36" s="49"/>
      <c r="I36" s="50"/>
      <c r="J36" s="4" t="s">
        <v>3</v>
      </c>
      <c r="K36" s="4">
        <f>4*(C9*1000)^0.5</f>
        <v>252.98221281347034</v>
      </c>
      <c r="L36" s="4" t="s">
        <v>5</v>
      </c>
      <c r="U36" s="4" t="s">
        <v>86</v>
      </c>
      <c r="X36" s="4">
        <f>+K39/M35*1000</f>
        <v>84.809139184499784</v>
      </c>
      <c r="Y36" s="4" t="s">
        <v>5</v>
      </c>
    </row>
    <row r="37" spans="1:25" ht="18.75" x14ac:dyDescent="0.35">
      <c r="A37" s="65" t="s">
        <v>130</v>
      </c>
      <c r="B37" s="60"/>
      <c r="C37" s="66" t="s">
        <v>131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1118.9990191473521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951.14916627524929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375.13049833333332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1.6*2*C13-1.6*C21*C22*C20/12*0.15</f>
        <v>748.89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0.39439712679596228</v>
      </c>
    </row>
    <row r="41" spans="1:25" x14ac:dyDescent="0.25">
      <c r="A41" s="45"/>
      <c r="B41" s="46" t="s">
        <v>433</v>
      </c>
      <c r="C41" s="58">
        <f>+(C40/4)^0.5</f>
        <v>13.682927318377454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14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53">
        <f>0</f>
        <v>0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55">
        <f>+C45/C21</f>
        <v>0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31.622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9.3026004786267436E-3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6.0466903111073833E-2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8.0622537481431777E-2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7.7998084452478693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8.2217199999999995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8.2217199999999995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5.8967999999999998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5.8967999999999998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45"/>
      <c r="B57" s="76" t="s">
        <v>45</v>
      </c>
      <c r="C57" s="57">
        <f>+C21/C22</f>
        <v>1.8571428571428572</v>
      </c>
      <c r="D57" s="48"/>
      <c r="E57" s="49"/>
      <c r="F57" s="49"/>
      <c r="G57" s="49"/>
      <c r="H57" s="49"/>
      <c r="I57" s="50"/>
    </row>
    <row r="58" spans="1:9" ht="18" x14ac:dyDescent="0.35">
      <c r="A58" s="45"/>
      <c r="B58" s="76" t="s">
        <v>47</v>
      </c>
      <c r="C58" s="55">
        <f>2/(C57+1)</f>
        <v>0.7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7.8606974044395983E-2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5.8967999999999998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18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6.6407830863535962</v>
      </c>
      <c r="D63" s="48" t="s">
        <v>0</v>
      </c>
      <c r="E63" s="49" t="str">
        <f>+IF(C63&gt;C61,"OK; note that T&amp;S only","OK; sufficient length available to develop hook")</f>
        <v>OK; 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30.033041540665284</v>
      </c>
      <c r="D64" s="48"/>
      <c r="E64" s="49"/>
      <c r="F64" s="49"/>
      <c r="G64" s="49"/>
      <c r="H64" s="49"/>
      <c r="I64" s="50"/>
    </row>
    <row r="65" spans="1:9" x14ac:dyDescent="0.25">
      <c r="A65" s="45"/>
      <c r="B65" s="46" t="s">
        <v>442</v>
      </c>
      <c r="C65" s="56">
        <v>14</v>
      </c>
      <c r="D65" s="48"/>
      <c r="E65" s="49"/>
      <c r="F65" s="49"/>
      <c r="G65" s="49"/>
      <c r="H65" s="49"/>
      <c r="I65" s="50"/>
    </row>
    <row r="66" spans="1:9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9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9" ht="18" x14ac:dyDescent="0.35">
      <c r="A68" s="45"/>
      <c r="B68" s="46" t="s">
        <v>26</v>
      </c>
      <c r="C68" s="69">
        <f>1.6*C13*(1*(0.5*C17*12+C11-C42/4))-1.6*(C21/2-C42/12/4)*C22*C20/12*0.15*(C21/2-C42/12/4)*12/2</f>
        <v>6565.6193750000002</v>
      </c>
      <c r="D68" s="48" t="s">
        <v>27</v>
      </c>
      <c r="E68" s="49" t="s">
        <v>118</v>
      </c>
      <c r="F68" s="49"/>
      <c r="G68" s="49"/>
      <c r="H68" s="49"/>
      <c r="I68" s="50"/>
    </row>
    <row r="69" spans="1:9" ht="18" x14ac:dyDescent="0.35">
      <c r="A69" s="45"/>
      <c r="B69" s="46" t="s">
        <v>26</v>
      </c>
      <c r="C69" s="79">
        <f>+C68/C22</f>
        <v>1875.8912500000001</v>
      </c>
      <c r="D69" s="48" t="s">
        <v>28</v>
      </c>
      <c r="E69" s="49" t="s">
        <v>29</v>
      </c>
      <c r="F69" s="49"/>
      <c r="G69" s="49"/>
      <c r="H69" s="49"/>
      <c r="I69" s="50"/>
    </row>
    <row r="70" spans="1:9" x14ac:dyDescent="0.25">
      <c r="A70" s="45"/>
      <c r="B70" s="46" t="s">
        <v>1</v>
      </c>
      <c r="C70" s="55">
        <f>+C20-C14-C15-P21/2</f>
        <v>32.436</v>
      </c>
      <c r="D70" s="48" t="s">
        <v>0</v>
      </c>
      <c r="E70" s="49"/>
      <c r="F70" s="49"/>
      <c r="G70" s="49"/>
      <c r="H70" s="49"/>
      <c r="I70" s="50"/>
    </row>
    <row r="71" spans="1:9" ht="18" x14ac:dyDescent="0.35">
      <c r="A71" s="45"/>
      <c r="B71" s="46" t="s">
        <v>40</v>
      </c>
      <c r="C71" s="58">
        <f>IF(C9=3,0.51*C70-(0.26*C70^2-0.0189*C69)^0.5,0.68*C70-(0.462*C70^2-0.0252*C69)^0.5)</f>
        <v>1.109045482809119</v>
      </c>
      <c r="D71" s="48" t="s">
        <v>435</v>
      </c>
      <c r="E71" s="49"/>
      <c r="F71" s="49"/>
      <c r="G71" s="49"/>
      <c r="H71" s="49"/>
      <c r="I71" s="50"/>
    </row>
    <row r="72" spans="1:9" ht="18" x14ac:dyDescent="0.35">
      <c r="A72" s="45"/>
      <c r="B72" s="46" t="s">
        <v>39</v>
      </c>
      <c r="C72" s="58">
        <f>+C71*C22</f>
        <v>3.8816591898319164</v>
      </c>
      <c r="D72" s="48" t="s">
        <v>436</v>
      </c>
      <c r="E72" s="49"/>
      <c r="F72" s="49"/>
      <c r="G72" s="49"/>
      <c r="H72" s="49"/>
      <c r="I72" s="50"/>
    </row>
    <row r="73" spans="1:9" ht="18" x14ac:dyDescent="0.35">
      <c r="A73" s="45"/>
      <c r="B73" s="46" t="s">
        <v>43</v>
      </c>
      <c r="C73" s="58">
        <f>+C72*4/3</f>
        <v>5.1755455864425555</v>
      </c>
      <c r="D73" s="48" t="s">
        <v>436</v>
      </c>
      <c r="E73" s="49"/>
      <c r="F73" s="49"/>
      <c r="G73" s="49"/>
      <c r="H73" s="49"/>
      <c r="I73" s="50"/>
    </row>
    <row r="74" spans="1:9" ht="18.75" x14ac:dyDescent="0.35">
      <c r="A74" s="45"/>
      <c r="B74" s="46" t="s">
        <v>437</v>
      </c>
      <c r="C74" s="58">
        <f>3*(C9*1000)^0.5*C22*12*C70/C10/1000</f>
        <v>4.3080088037793045</v>
      </c>
      <c r="D74" s="48" t="s">
        <v>436</v>
      </c>
      <c r="E74" s="49"/>
      <c r="F74" s="49"/>
      <c r="G74" s="49"/>
      <c r="H74" s="49"/>
      <c r="I74" s="50"/>
    </row>
    <row r="75" spans="1:9" ht="18" x14ac:dyDescent="0.35">
      <c r="A75" s="45"/>
      <c r="B75" s="46" t="s">
        <v>438</v>
      </c>
      <c r="C75" s="58">
        <f>200*C22*12*C70/C10/1000</f>
        <v>4.5410399999999997</v>
      </c>
      <c r="D75" s="48" t="s">
        <v>436</v>
      </c>
      <c r="E75" s="49"/>
      <c r="F75" s="49"/>
      <c r="G75" s="49"/>
      <c r="H75" s="49"/>
      <c r="I75" s="50"/>
    </row>
    <row r="76" spans="1:9" ht="18" x14ac:dyDescent="0.35">
      <c r="A76" s="45"/>
      <c r="B76" s="46" t="s">
        <v>44</v>
      </c>
      <c r="C76" s="58">
        <f>+MAX(C74:C75)</f>
        <v>4.5410399999999997</v>
      </c>
      <c r="D76" s="48" t="s">
        <v>436</v>
      </c>
      <c r="E76" s="49"/>
      <c r="F76" s="49"/>
      <c r="G76" s="49"/>
      <c r="H76" s="49"/>
      <c r="I76" s="50"/>
    </row>
    <row r="77" spans="1:9" ht="18" x14ac:dyDescent="0.35">
      <c r="A77" s="45"/>
      <c r="B77" s="46" t="s">
        <v>439</v>
      </c>
      <c r="C77" s="58">
        <f>+IF(C10=60,0.0018*C22*12*C20,0.002*C22*12*C20)</f>
        <v>3.1752000000000002</v>
      </c>
      <c r="D77" s="48" t="s">
        <v>436</v>
      </c>
      <c r="E77" s="49"/>
      <c r="F77" s="49"/>
      <c r="G77" s="49"/>
      <c r="H77" s="49"/>
      <c r="I77" s="50"/>
    </row>
    <row r="78" spans="1:9" ht="18" x14ac:dyDescent="0.35">
      <c r="A78" s="45"/>
      <c r="B78" s="46" t="s">
        <v>41</v>
      </c>
      <c r="C78" s="58">
        <f>+IF(C72&gt;C76,C72,IF(C73&gt;C76,C76,IF(C73&gt;C77,C73,C77)))</f>
        <v>4.5410399999999997</v>
      </c>
      <c r="D78" s="48" t="s">
        <v>436</v>
      </c>
      <c r="E78" s="49"/>
      <c r="F78" s="49"/>
      <c r="G78" s="49"/>
      <c r="H78" s="49"/>
      <c r="I78" s="50"/>
    </row>
    <row r="79" spans="1:9" x14ac:dyDescent="0.25">
      <c r="A79" s="45"/>
      <c r="B79" s="46" t="s">
        <v>440</v>
      </c>
      <c r="C79" s="55">
        <f>+C18-C11</f>
        <v>18</v>
      </c>
      <c r="D79" s="48" t="s">
        <v>0</v>
      </c>
      <c r="E79" s="49" t="s">
        <v>52</v>
      </c>
      <c r="F79" s="49"/>
      <c r="G79" s="49"/>
      <c r="H79" s="49"/>
      <c r="I79" s="50"/>
    </row>
    <row r="80" spans="1:9" ht="18" x14ac:dyDescent="0.35">
      <c r="A80" s="45"/>
      <c r="B80" s="46" t="s">
        <v>51</v>
      </c>
      <c r="C80" s="55">
        <v>1</v>
      </c>
      <c r="D80" s="48"/>
      <c r="E80" s="49" t="s">
        <v>50</v>
      </c>
      <c r="F80" s="49"/>
      <c r="G80" s="49"/>
      <c r="H80" s="49"/>
      <c r="I80" s="50"/>
    </row>
    <row r="81" spans="1:17" ht="18" x14ac:dyDescent="0.35">
      <c r="A81" s="45"/>
      <c r="B81" s="46" t="s">
        <v>48</v>
      </c>
      <c r="C81" s="58">
        <f>0.02*C62*C10*1000/(C9*1000)^0.5*P21*0.7</f>
        <v>14.981606642813713</v>
      </c>
      <c r="D81" s="48" t="s">
        <v>0</v>
      </c>
      <c r="E81" s="49" t="str">
        <f>+IF(C81&gt;C79,"NG; insufficient length available to develop hook","OK; sufficient length available to develop hook")</f>
        <v>OK; sufficient length available to develop hook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4.5442273938016511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6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32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23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16</v>
      </c>
      <c r="C87" s="48" t="s">
        <v>0</v>
      </c>
      <c r="D87" s="49"/>
      <c r="E87" s="49"/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v>0</v>
      </c>
      <c r="P87" s="4" t="s">
        <v>0</v>
      </c>
      <c r="Q87" s="4" t="s">
        <v>120</v>
      </c>
    </row>
    <row r="88" spans="1:17" x14ac:dyDescent="0.25">
      <c r="A88" s="68"/>
      <c r="B88" s="81"/>
      <c r="C88" s="48"/>
      <c r="D88" s="82" t="s">
        <v>445</v>
      </c>
      <c r="E88" s="83">
        <f>+IF(M86&gt;O88,0,2)</f>
        <v>0</v>
      </c>
      <c r="F88" s="49"/>
      <c r="G88" s="49"/>
      <c r="H88" s="49"/>
      <c r="I88" s="50"/>
      <c r="J88" s="4" t="s">
        <v>57</v>
      </c>
      <c r="K88" s="64"/>
      <c r="L88" s="64"/>
      <c r="M88" s="64"/>
      <c r="N88" s="64"/>
      <c r="O88" s="64">
        <f>+C17/2*12+C11</f>
        <v>21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252.98221281347034</v>
      </c>
      <c r="C89" s="48" t="s">
        <v>5</v>
      </c>
      <c r="D89" s="49"/>
      <c r="E89" s="49"/>
      <c r="F89" s="49"/>
      <c r="G89" s="49"/>
      <c r="H89" s="49"/>
      <c r="I89" s="50"/>
    </row>
    <row r="90" spans="1:17" ht="18" x14ac:dyDescent="0.35">
      <c r="A90" s="68" t="s">
        <v>11</v>
      </c>
      <c r="B90" s="55">
        <f>MIN(4*(B86+C42),2*C22*12)</f>
        <v>84</v>
      </c>
      <c r="C90" s="48" t="s">
        <v>0</v>
      </c>
      <c r="D90" s="49"/>
      <c r="E90" s="49"/>
      <c r="F90" s="49"/>
      <c r="G90" s="49"/>
      <c r="H90" s="49"/>
      <c r="I90" s="50"/>
    </row>
    <row r="91" spans="1:17" ht="18.75" x14ac:dyDescent="0.35">
      <c r="A91" s="68" t="s">
        <v>7</v>
      </c>
      <c r="B91" s="79">
        <f>+B89*B90*B86/1000</f>
        <v>680.01618804260829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252.98221281347034</v>
      </c>
      <c r="P91" s="4" t="s">
        <v>5</v>
      </c>
    </row>
    <row r="92" spans="1:17" ht="18" x14ac:dyDescent="0.35">
      <c r="A92" s="68" t="s">
        <v>12</v>
      </c>
      <c r="B92" s="79">
        <f>+B91*0.85</f>
        <v>578.01375983621699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-6.7666666666666675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-1.1706757065063703E-2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32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39</v>
      </c>
      <c r="N98" s="4" t="s">
        <v>0</v>
      </c>
      <c r="O98" s="64"/>
    </row>
    <row r="99" spans="1:17" x14ac:dyDescent="0.25">
      <c r="A99" s="68"/>
      <c r="B99" s="80"/>
      <c r="C99" s="48"/>
      <c r="D99" s="46" t="s">
        <v>446</v>
      </c>
      <c r="E99" s="83">
        <f>+IF(M98&gt;O99,0,1)</f>
        <v>0</v>
      </c>
      <c r="F99" s="49"/>
      <c r="G99" s="49"/>
      <c r="H99" s="49"/>
      <c r="I99" s="50"/>
      <c r="J99" s="4" t="s">
        <v>60</v>
      </c>
      <c r="K99" s="64"/>
      <c r="L99" s="64"/>
      <c r="M99" s="64"/>
      <c r="N99" s="64"/>
      <c r="O99" s="64">
        <f>0.5*C17*12+C11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126.49110640673517</v>
      </c>
      <c r="C100" s="48" t="s">
        <v>5</v>
      </c>
      <c r="D100" s="49"/>
      <c r="E100" s="49"/>
      <c r="F100" s="49"/>
      <c r="G100" s="49"/>
      <c r="H100" s="49"/>
      <c r="I100" s="50"/>
    </row>
    <row r="101" spans="1:17" x14ac:dyDescent="0.25">
      <c r="A101" s="68" t="s">
        <v>62</v>
      </c>
      <c r="B101" s="79">
        <f>+C22*12*B98</f>
        <v>1344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126.49110640673517</v>
      </c>
      <c r="P101" s="4" t="s">
        <v>5</v>
      </c>
    </row>
    <row r="102" spans="1:17" ht="18.75" x14ac:dyDescent="0.35">
      <c r="A102" s="68" t="s">
        <v>7</v>
      </c>
      <c r="B102" s="79">
        <f>+B100*B101/1000</f>
        <v>170.00404701065207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144.50343995905425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0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0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134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133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53">
        <f>+C20-C14-C15-P21/2</f>
        <v>32.436</v>
      </c>
      <c r="C109" s="48" t="s">
        <v>0</v>
      </c>
      <c r="D109" s="49"/>
      <c r="E109" s="49"/>
      <c r="F109" s="49"/>
      <c r="G109" s="49"/>
      <c r="H109" s="49"/>
      <c r="I109" s="50"/>
    </row>
    <row r="110" spans="1:17" x14ac:dyDescent="0.25">
      <c r="A110" s="68" t="s">
        <v>64</v>
      </c>
      <c r="B110" s="55">
        <f>+C17*12/2-C42/2+C11</f>
        <v>14</v>
      </c>
      <c r="C110" s="48" t="s">
        <v>0</v>
      </c>
      <c r="D110" s="80"/>
      <c r="E110" s="49"/>
      <c r="F110" s="49"/>
      <c r="G110" s="49"/>
      <c r="H110" s="49"/>
      <c r="I110" s="50"/>
    </row>
    <row r="111" spans="1:17" x14ac:dyDescent="0.25">
      <c r="A111" s="68" t="s">
        <v>65</v>
      </c>
      <c r="B111" s="58">
        <f>MAX(B110/B109,0)</f>
        <v>0.43161918855592551</v>
      </c>
      <c r="C111" s="48"/>
      <c r="D111" s="80" t="str">
        <f>+IF(B111&lt;1,"OK, this limit state should be checked","neglect calculations below since this limit state does not apply")</f>
        <v>OK, this limit state should be checked</v>
      </c>
      <c r="E111" s="49"/>
      <c r="F111" s="49"/>
      <c r="G111" s="49"/>
      <c r="H111" s="49"/>
      <c r="I111" s="50"/>
    </row>
    <row r="112" spans="1:17" ht="18" x14ac:dyDescent="0.35">
      <c r="A112" s="68" t="s">
        <v>58</v>
      </c>
      <c r="B112" s="79">
        <f>1*1.6*C13-1.6*0.15*C21*C22*C20/12*((C21/2-C42/2/12)/C21)</f>
        <v>376.16</v>
      </c>
      <c r="C112" s="48" t="s">
        <v>18</v>
      </c>
      <c r="D112" s="80"/>
      <c r="E112" s="49"/>
      <c r="F112" s="80"/>
      <c r="G112" s="49"/>
      <c r="H112" s="49"/>
      <c r="I112" s="50"/>
    </row>
    <row r="113" spans="1:16" ht="18" x14ac:dyDescent="0.35">
      <c r="A113" s="68" t="s">
        <v>26</v>
      </c>
      <c r="B113" s="79">
        <f>1.6*C13*(1*B110)-1.6*0.15*C21*C22*C20/12*((C21/2-C42/2/12)/C21)*(C21/2-C42/2/12)*12/2</f>
        <v>5250.56</v>
      </c>
      <c r="C113" s="48" t="s">
        <v>27</v>
      </c>
      <c r="D113" s="80"/>
      <c r="E113" s="49"/>
      <c r="F113" s="80"/>
      <c r="G113" s="49"/>
      <c r="H113" s="49"/>
      <c r="I113" s="50"/>
      <c r="L113" s="4" t="s">
        <v>83</v>
      </c>
      <c r="O113" s="4">
        <f>+B116/2*B100</f>
        <v>632.45553203367581</v>
      </c>
      <c r="P113" s="4" t="s">
        <v>5</v>
      </c>
    </row>
    <row r="114" spans="1:16" ht="18" x14ac:dyDescent="0.35">
      <c r="A114" s="68" t="s">
        <v>66</v>
      </c>
      <c r="B114" s="58">
        <f>+B112*B109/B113</f>
        <v>2.3237760848366649</v>
      </c>
      <c r="C114" s="48"/>
      <c r="D114" s="80"/>
      <c r="E114" s="80"/>
      <c r="F114" s="80"/>
      <c r="G114" s="49"/>
      <c r="H114" s="49"/>
      <c r="I114" s="50"/>
    </row>
    <row r="115" spans="1:16" ht="18" x14ac:dyDescent="0.35">
      <c r="A115" s="68" t="s">
        <v>447</v>
      </c>
      <c r="B115" s="58">
        <f>1/B114</f>
        <v>0.43033406123993595</v>
      </c>
      <c r="C115" s="48"/>
      <c r="D115" s="80"/>
      <c r="E115" s="80"/>
      <c r="F115" s="80"/>
      <c r="G115" s="49"/>
      <c r="H115" s="49"/>
      <c r="I115" s="50"/>
    </row>
    <row r="116" spans="1:16" x14ac:dyDescent="0.25">
      <c r="A116" s="68" t="s">
        <v>6</v>
      </c>
      <c r="B116" s="58">
        <f>+MIN(1/B111*(3.5-2.5*B115)*(1.9+0.1*B114),10)</f>
        <v>10</v>
      </c>
      <c r="C116" s="48"/>
      <c r="D116" s="80"/>
      <c r="E116" s="80"/>
      <c r="F116" s="49"/>
      <c r="G116" s="49"/>
      <c r="H116" s="49"/>
      <c r="I116" s="50"/>
    </row>
    <row r="117" spans="1:16" ht="18" x14ac:dyDescent="0.35">
      <c r="A117" s="68" t="s">
        <v>12</v>
      </c>
      <c r="B117" s="79">
        <f>0.85*B116*(C9*1000)^0.5/1000*C22*12*B109</f>
        <v>732.36149664248194</v>
      </c>
      <c r="C117" s="48" t="s">
        <v>18</v>
      </c>
      <c r="D117" s="49"/>
      <c r="E117" s="49"/>
      <c r="F117" s="49"/>
      <c r="G117" s="49"/>
      <c r="H117" s="49"/>
      <c r="I117" s="50"/>
    </row>
    <row r="118" spans="1:16" ht="18" x14ac:dyDescent="0.35">
      <c r="A118" s="68" t="s">
        <v>14</v>
      </c>
      <c r="B118" s="74">
        <f>+B112/B117</f>
        <v>0.51362612825020026</v>
      </c>
      <c r="C118" s="48"/>
      <c r="D118" s="49"/>
      <c r="E118" s="49"/>
      <c r="F118" s="49"/>
      <c r="G118" s="49"/>
      <c r="H118" s="49"/>
      <c r="I118" s="50"/>
    </row>
    <row r="119" spans="1:16" x14ac:dyDescent="0.25">
      <c r="A119" s="45" t="s">
        <v>357</v>
      </c>
      <c r="B119" s="49"/>
      <c r="C119" s="48"/>
      <c r="D119" s="49"/>
      <c r="E119" s="49"/>
      <c r="F119" s="49"/>
      <c r="G119" s="49"/>
      <c r="H119" s="49"/>
      <c r="I119" s="50"/>
    </row>
    <row r="120" spans="1:16" ht="18" x14ac:dyDescent="0.35">
      <c r="A120" s="68" t="s">
        <v>66</v>
      </c>
      <c r="B120" s="57">
        <f>+B114</f>
        <v>2.3237760848366649</v>
      </c>
      <c r="C120" s="48"/>
      <c r="D120" s="49"/>
      <c r="E120" s="49"/>
      <c r="F120" s="49"/>
      <c r="G120" s="49"/>
      <c r="H120" s="49"/>
      <c r="I120" s="50"/>
    </row>
    <row r="121" spans="1:16" ht="18" x14ac:dyDescent="0.35">
      <c r="A121" s="68" t="s">
        <v>447</v>
      </c>
      <c r="B121" s="58">
        <f>1/B120</f>
        <v>0.43033406123993595</v>
      </c>
      <c r="C121" s="48"/>
      <c r="D121" s="49"/>
      <c r="E121" s="49"/>
      <c r="F121" s="49"/>
      <c r="G121" s="49"/>
      <c r="H121" s="49"/>
      <c r="I121" s="50"/>
    </row>
    <row r="122" spans="1:16" x14ac:dyDescent="0.25">
      <c r="A122" s="68" t="s">
        <v>6</v>
      </c>
      <c r="B122" s="58">
        <f>+MIN(1/1*(3.5-2.5*B121)*(1.9+0.1*B120),10)</f>
        <v>5.1692348388031366</v>
      </c>
      <c r="C122" s="48"/>
      <c r="D122" s="49"/>
      <c r="E122" s="49"/>
      <c r="F122" s="49"/>
      <c r="G122" s="49"/>
      <c r="H122" s="49"/>
      <c r="I122" s="50"/>
    </row>
    <row r="123" spans="1:16" ht="18" x14ac:dyDescent="0.35">
      <c r="A123" s="68" t="s">
        <v>12</v>
      </c>
      <c r="B123" s="79">
        <f>0.85*B122*(C9*1000)^0.5/1000*C22*12*B109</f>
        <v>378.57485630423236</v>
      </c>
      <c r="C123" s="48" t="s">
        <v>18</v>
      </c>
      <c r="D123" s="49"/>
      <c r="E123" s="49"/>
      <c r="F123" s="49"/>
      <c r="G123" s="49"/>
      <c r="H123" s="49"/>
      <c r="I123" s="50"/>
    </row>
    <row r="124" spans="1:16" ht="18" x14ac:dyDescent="0.35">
      <c r="A124" s="68" t="s">
        <v>14</v>
      </c>
      <c r="B124" s="74">
        <f>+B112/B123</f>
        <v>0.99362119204691268</v>
      </c>
      <c r="C124" s="48"/>
      <c r="D124" s="49"/>
      <c r="E124" s="49"/>
      <c r="F124" s="49"/>
      <c r="G124" s="49"/>
      <c r="H124" s="49"/>
      <c r="I124" s="50"/>
    </row>
    <row r="125" spans="1:16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16" ht="18.75" x14ac:dyDescent="0.3">
      <c r="A126" s="71" t="s">
        <v>68</v>
      </c>
      <c r="B126" s="72"/>
      <c r="C126" s="72"/>
      <c r="D126" s="72"/>
      <c r="E126" s="72"/>
      <c r="F126" s="72"/>
      <c r="G126" s="72"/>
      <c r="H126" s="72"/>
      <c r="I126" s="73"/>
    </row>
    <row r="127" spans="1:16" x14ac:dyDescent="0.25">
      <c r="A127" s="45" t="s">
        <v>69</v>
      </c>
      <c r="B127" s="49"/>
      <c r="C127" s="49"/>
      <c r="D127" s="49"/>
      <c r="E127" s="49"/>
      <c r="F127" s="49"/>
      <c r="G127" s="49"/>
      <c r="H127" s="49"/>
      <c r="I127" s="50"/>
    </row>
    <row r="128" spans="1:16" x14ac:dyDescent="0.25">
      <c r="A128" s="68" t="s">
        <v>448</v>
      </c>
      <c r="B128" s="85">
        <f>+C22*C21*C20/12/27</f>
        <v>2.949074074074074</v>
      </c>
      <c r="C128" s="48" t="s">
        <v>449</v>
      </c>
      <c r="D128" s="49"/>
      <c r="E128" s="49"/>
      <c r="F128" s="49"/>
      <c r="G128" s="49"/>
      <c r="H128" s="49"/>
      <c r="I128" s="50"/>
    </row>
    <row r="129" spans="1:9" x14ac:dyDescent="0.25">
      <c r="A129" s="45"/>
      <c r="B129" s="49"/>
      <c r="C129" s="49"/>
      <c r="D129" s="49"/>
      <c r="E129" s="49"/>
      <c r="F129" s="49"/>
      <c r="G129" s="49"/>
      <c r="H129" s="49"/>
      <c r="I129" s="50"/>
    </row>
    <row r="130" spans="1:9" x14ac:dyDescent="0.25">
      <c r="A130" s="45" t="s">
        <v>70</v>
      </c>
      <c r="B130" s="49"/>
      <c r="C130" s="49"/>
      <c r="D130" s="49"/>
      <c r="E130" s="49"/>
      <c r="F130" s="49"/>
      <c r="G130" s="49"/>
      <c r="H130" s="49"/>
      <c r="I130" s="50"/>
    </row>
    <row r="131" spans="1:9" x14ac:dyDescent="0.25">
      <c r="A131" s="45"/>
      <c r="B131" s="53">
        <f>+C65</f>
        <v>14</v>
      </c>
      <c r="C131" s="48" t="s">
        <v>71</v>
      </c>
      <c r="D131" s="83" t="str">
        <f>"#"&amp;+C23</f>
        <v>#4</v>
      </c>
      <c r="E131" s="49" t="s">
        <v>72</v>
      </c>
      <c r="F131" s="49" t="s">
        <v>73</v>
      </c>
      <c r="G131" s="57">
        <f>+C22-0.5</f>
        <v>3</v>
      </c>
      <c r="H131" s="48" t="s">
        <v>74</v>
      </c>
      <c r="I131" s="50"/>
    </row>
    <row r="132" spans="1:9" x14ac:dyDescent="0.25">
      <c r="A132" s="45"/>
      <c r="B132" s="55">
        <f>+B131*2</f>
        <v>28</v>
      </c>
      <c r="C132" s="48" t="s">
        <v>71</v>
      </c>
      <c r="D132" s="49"/>
      <c r="E132" s="49" t="s">
        <v>75</v>
      </c>
      <c r="F132" s="49" t="s">
        <v>73</v>
      </c>
      <c r="G132" s="74">
        <f>+M19/12</f>
        <v>0.56525000000000003</v>
      </c>
      <c r="H132" s="48" t="s">
        <v>74</v>
      </c>
      <c r="I132" s="50"/>
    </row>
    <row r="133" spans="1:9" x14ac:dyDescent="0.25">
      <c r="A133" s="68" t="s">
        <v>76</v>
      </c>
      <c r="B133" s="86">
        <f>+B131*G131*L22/144*490+B132*G132*L22/144*490</f>
        <v>38.635036911892364</v>
      </c>
      <c r="C133" s="48" t="s">
        <v>78</v>
      </c>
      <c r="D133" s="49"/>
      <c r="E133" s="49"/>
      <c r="F133" s="49"/>
      <c r="G133" s="49"/>
      <c r="H133" s="48"/>
      <c r="I133" s="50"/>
    </row>
    <row r="134" spans="1:9" x14ac:dyDescent="0.25">
      <c r="A134" s="45" t="s">
        <v>77</v>
      </c>
      <c r="B134" s="49"/>
      <c r="C134" s="48"/>
      <c r="D134" s="49"/>
      <c r="E134" s="49"/>
      <c r="F134" s="49"/>
      <c r="G134" s="49"/>
      <c r="H134" s="48"/>
      <c r="I134" s="50"/>
    </row>
    <row r="135" spans="1:9" x14ac:dyDescent="0.25">
      <c r="A135" s="45"/>
      <c r="B135" s="53">
        <f>+C83</f>
        <v>6</v>
      </c>
      <c r="C135" s="48" t="s">
        <v>71</v>
      </c>
      <c r="D135" s="83" t="str">
        <f>"#"&amp;+C24</f>
        <v>#9</v>
      </c>
      <c r="E135" s="49" t="s">
        <v>72</v>
      </c>
      <c r="F135" s="49" t="s">
        <v>73</v>
      </c>
      <c r="G135" s="57">
        <f>+C21-0.5</f>
        <v>6</v>
      </c>
      <c r="H135" s="48" t="s">
        <v>74</v>
      </c>
      <c r="I135" s="50"/>
    </row>
    <row r="136" spans="1:9" x14ac:dyDescent="0.25">
      <c r="A136" s="45"/>
      <c r="B136" s="55">
        <f>+B135*2</f>
        <v>12</v>
      </c>
      <c r="C136" s="48" t="s">
        <v>71</v>
      </c>
      <c r="D136" s="49"/>
      <c r="E136" s="49" t="s">
        <v>75</v>
      </c>
      <c r="F136" s="49" t="s">
        <v>73</v>
      </c>
      <c r="G136" s="74">
        <f>+M20/12</f>
        <v>1.3825050000000001</v>
      </c>
      <c r="H136" s="48" t="s">
        <v>74</v>
      </c>
      <c r="I136" s="50"/>
    </row>
    <row r="137" spans="1:9" x14ac:dyDescent="0.25">
      <c r="A137" s="68" t="s">
        <v>76</v>
      </c>
      <c r="B137" s="86">
        <f>+B135*G135*P22/144*490+B136*G136*P22/144*490</f>
        <v>178.82676750231087</v>
      </c>
      <c r="C137" s="48" t="s">
        <v>78</v>
      </c>
      <c r="D137" s="49"/>
      <c r="E137" s="49"/>
      <c r="F137" s="49"/>
      <c r="G137" s="49"/>
      <c r="H137" s="49"/>
      <c r="I137" s="50"/>
    </row>
    <row r="138" spans="1:9" x14ac:dyDescent="0.25">
      <c r="A138" s="45"/>
      <c r="B138" s="49"/>
      <c r="C138" s="49"/>
      <c r="D138" s="49"/>
      <c r="E138" s="49"/>
      <c r="F138" s="49"/>
      <c r="G138" s="49"/>
      <c r="H138" s="49"/>
      <c r="I138" s="50"/>
    </row>
    <row r="139" spans="1:9" x14ac:dyDescent="0.25">
      <c r="A139" s="45"/>
      <c r="B139" s="46" t="s">
        <v>450</v>
      </c>
      <c r="C139" s="87">
        <f>+B137+B133</f>
        <v>217.46180441420324</v>
      </c>
      <c r="D139" s="48" t="s">
        <v>78</v>
      </c>
      <c r="E139" s="49" t="s">
        <v>79</v>
      </c>
      <c r="F139" s="88">
        <f>+C139/2000</f>
        <v>0.10873090220710162</v>
      </c>
      <c r="G139" s="48" t="s">
        <v>19</v>
      </c>
      <c r="H139" s="49"/>
      <c r="I139" s="50"/>
    </row>
    <row r="140" spans="1:9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9" x14ac:dyDescent="0.25">
      <c r="A141" s="45"/>
      <c r="B141" s="49"/>
      <c r="C141" s="49"/>
      <c r="D141" s="49"/>
      <c r="E141" s="49"/>
      <c r="F141" s="49"/>
      <c r="G141" s="49"/>
      <c r="H141" s="49"/>
      <c r="I141" s="50"/>
    </row>
    <row r="142" spans="1:9" x14ac:dyDescent="0.25">
      <c r="A142" s="42" t="s">
        <v>451</v>
      </c>
      <c r="B142" s="43"/>
      <c r="C142" s="43"/>
      <c r="D142" s="43"/>
      <c r="E142" s="43"/>
      <c r="F142" s="43"/>
      <c r="G142" s="43"/>
      <c r="H142" s="43"/>
      <c r="I142" s="44"/>
    </row>
    <row r="143" spans="1:9" x14ac:dyDescent="0.25">
      <c r="A143" s="89"/>
      <c r="B143" s="43"/>
      <c r="C143" s="43"/>
      <c r="D143" s="43"/>
      <c r="E143" s="43"/>
      <c r="F143" s="43"/>
      <c r="G143" s="43"/>
      <c r="H143" s="43"/>
      <c r="I143" s="44"/>
    </row>
    <row r="144" spans="1:9" x14ac:dyDescent="0.25">
      <c r="A144" s="89"/>
      <c r="B144" s="43"/>
      <c r="C144" s="43"/>
      <c r="D144" s="43"/>
      <c r="E144" s="43"/>
      <c r="F144" s="43"/>
      <c r="G144" s="43"/>
      <c r="H144" s="43"/>
      <c r="I144" s="44"/>
    </row>
    <row r="145" spans="1:9" x14ac:dyDescent="0.25">
      <c r="A145" s="89"/>
      <c r="B145" s="43"/>
      <c r="C145" s="43"/>
      <c r="D145" s="43"/>
      <c r="E145" s="43"/>
      <c r="F145" s="43"/>
      <c r="G145" s="43"/>
      <c r="H145" s="43"/>
      <c r="I145" s="44"/>
    </row>
    <row r="146" spans="1:9" x14ac:dyDescent="0.25">
      <c r="A146" s="89"/>
      <c r="B146" s="43"/>
      <c r="C146" s="43"/>
      <c r="D146" s="43"/>
      <c r="E146" s="43"/>
      <c r="F146" s="43"/>
      <c r="G146" s="43"/>
      <c r="H146" s="43"/>
      <c r="I146" s="44"/>
    </row>
    <row r="147" spans="1:9" x14ac:dyDescent="0.25">
      <c r="A147" s="89"/>
      <c r="B147" s="43"/>
      <c r="C147" s="43"/>
      <c r="D147" s="43"/>
      <c r="E147" s="43"/>
      <c r="F147" s="43"/>
      <c r="G147" s="43"/>
      <c r="H147" s="43"/>
      <c r="I147" s="44"/>
    </row>
    <row r="148" spans="1:9" x14ac:dyDescent="0.25">
      <c r="A148" s="89"/>
      <c r="B148" s="43"/>
      <c r="C148" s="43"/>
      <c r="D148" s="43"/>
      <c r="E148" s="43"/>
      <c r="F148" s="43"/>
      <c r="G148" s="43"/>
      <c r="H148" s="43"/>
      <c r="I148" s="44"/>
    </row>
    <row r="149" spans="1:9" x14ac:dyDescent="0.25">
      <c r="A149" s="89"/>
      <c r="B149" s="43"/>
      <c r="C149" s="43"/>
      <c r="D149" s="43"/>
      <c r="E149" s="43"/>
      <c r="F149" s="43"/>
      <c r="G149" s="43"/>
      <c r="H149" s="43"/>
      <c r="I149" s="44"/>
    </row>
    <row r="150" spans="1:9" x14ac:dyDescent="0.25">
      <c r="A150" s="89"/>
      <c r="B150" s="43"/>
      <c r="C150" s="43"/>
      <c r="D150" s="43"/>
      <c r="E150" s="43"/>
      <c r="F150" s="43"/>
      <c r="G150" s="43"/>
      <c r="H150" s="43"/>
      <c r="I150" s="44"/>
    </row>
    <row r="151" spans="1:9" x14ac:dyDescent="0.25">
      <c r="A151" s="89"/>
      <c r="B151" s="43"/>
      <c r="C151" s="43"/>
      <c r="D151" s="43"/>
      <c r="E151" s="43"/>
      <c r="F151" s="43"/>
      <c r="G151" s="43"/>
      <c r="H151" s="43"/>
      <c r="I151" s="44"/>
    </row>
    <row r="152" spans="1:9" x14ac:dyDescent="0.25">
      <c r="A152" s="89"/>
      <c r="B152" s="43"/>
      <c r="C152" s="43"/>
      <c r="D152" s="43"/>
      <c r="E152" s="43"/>
      <c r="F152" s="43"/>
      <c r="G152" s="43"/>
      <c r="H152" s="43"/>
      <c r="I152" s="44"/>
    </row>
    <row r="153" spans="1:9" x14ac:dyDescent="0.25">
      <c r="A153" s="89"/>
      <c r="B153" s="43"/>
      <c r="C153" s="43"/>
      <c r="D153" s="43"/>
      <c r="E153" s="43"/>
      <c r="F153" s="43"/>
      <c r="G153" s="43"/>
      <c r="H153" s="43"/>
      <c r="I153" s="44"/>
    </row>
    <row r="154" spans="1:9" x14ac:dyDescent="0.25">
      <c r="A154" s="89"/>
      <c r="B154" s="43"/>
      <c r="C154" s="43"/>
      <c r="D154" s="43"/>
      <c r="E154" s="43"/>
      <c r="F154" s="43"/>
      <c r="G154" s="43"/>
      <c r="H154" s="43"/>
      <c r="I154" s="44"/>
    </row>
    <row r="155" spans="1:9" x14ac:dyDescent="0.25">
      <c r="A155" s="89"/>
      <c r="B155" s="43"/>
      <c r="C155" s="43"/>
      <c r="D155" s="43"/>
      <c r="E155" s="43"/>
      <c r="F155" s="43"/>
      <c r="G155" s="43"/>
      <c r="H155" s="43"/>
      <c r="I155" s="44"/>
    </row>
    <row r="156" spans="1:9" x14ac:dyDescent="0.25">
      <c r="A156" s="89"/>
      <c r="B156" s="43"/>
      <c r="C156" s="43"/>
      <c r="D156" s="43"/>
      <c r="E156" s="43"/>
      <c r="F156" s="43"/>
      <c r="G156" s="43"/>
      <c r="H156" s="43"/>
      <c r="I156" s="44"/>
    </row>
    <row r="157" spans="1:9" x14ac:dyDescent="0.25">
      <c r="A157" s="89"/>
      <c r="B157" s="43"/>
      <c r="C157" s="43"/>
      <c r="D157" s="43"/>
      <c r="E157" s="43"/>
      <c r="F157" s="43"/>
      <c r="G157" s="43"/>
      <c r="H157" s="43"/>
      <c r="I157" s="44"/>
    </row>
    <row r="158" spans="1:9" x14ac:dyDescent="0.25">
      <c r="A158" s="89"/>
      <c r="B158" s="43"/>
      <c r="C158" s="43"/>
      <c r="D158" s="43"/>
      <c r="E158" s="43"/>
      <c r="F158" s="43"/>
      <c r="G158" s="43"/>
      <c r="H158" s="43"/>
      <c r="I158" s="44"/>
    </row>
    <row r="159" spans="1:9" x14ac:dyDescent="0.25">
      <c r="A159" s="89"/>
      <c r="B159" s="43"/>
      <c r="C159" s="43"/>
      <c r="D159" s="43"/>
      <c r="E159" s="43"/>
      <c r="F159" s="43"/>
      <c r="G159" s="43"/>
      <c r="H159" s="43"/>
      <c r="I159" s="44"/>
    </row>
    <row r="160" spans="1:9" x14ac:dyDescent="0.25">
      <c r="A160" s="89"/>
      <c r="B160" s="43"/>
      <c r="C160" s="43"/>
      <c r="D160" s="43"/>
      <c r="E160" s="43"/>
      <c r="F160" s="43"/>
      <c r="G160" s="43"/>
      <c r="H160" s="43"/>
      <c r="I160" s="44"/>
    </row>
    <row r="161" spans="1:9" x14ac:dyDescent="0.25">
      <c r="A161" s="89"/>
      <c r="B161" s="43"/>
      <c r="C161" s="43"/>
      <c r="D161" s="43"/>
      <c r="E161" s="43"/>
      <c r="F161" s="43"/>
      <c r="G161" s="43"/>
      <c r="H161" s="43"/>
      <c r="I161" s="44"/>
    </row>
    <row r="162" spans="1:9" x14ac:dyDescent="0.25">
      <c r="A162" s="89"/>
      <c r="B162" s="43"/>
      <c r="C162" s="43"/>
      <c r="D162" s="43"/>
      <c r="E162" s="43"/>
      <c r="F162" s="43"/>
      <c r="G162" s="43"/>
      <c r="H162" s="43"/>
      <c r="I162" s="44"/>
    </row>
    <row r="163" spans="1:9" x14ac:dyDescent="0.25">
      <c r="A163" s="89"/>
      <c r="B163" s="43"/>
      <c r="C163" s="43"/>
      <c r="D163" s="43"/>
      <c r="E163" s="43"/>
      <c r="F163" s="43"/>
      <c r="G163" s="43"/>
      <c r="H163" s="43"/>
      <c r="I163" s="44"/>
    </row>
    <row r="164" spans="1:9" x14ac:dyDescent="0.25">
      <c r="A164" s="89"/>
      <c r="B164" s="43"/>
      <c r="C164" s="43"/>
      <c r="D164" s="43"/>
      <c r="E164" s="43"/>
      <c r="F164" s="43"/>
      <c r="G164" s="43"/>
      <c r="H164" s="43"/>
      <c r="I164" s="44"/>
    </row>
    <row r="165" spans="1:9" x14ac:dyDescent="0.25">
      <c r="A165" s="89"/>
      <c r="B165" s="43"/>
      <c r="C165" s="43"/>
      <c r="D165" s="43"/>
      <c r="E165" s="43"/>
      <c r="F165" s="43"/>
      <c r="G165" s="43"/>
      <c r="H165" s="43"/>
      <c r="I165" s="44"/>
    </row>
    <row r="166" spans="1:9" x14ac:dyDescent="0.25">
      <c r="A166" s="89"/>
      <c r="B166" s="43"/>
      <c r="C166" s="43"/>
      <c r="D166" s="43"/>
      <c r="E166" s="43"/>
      <c r="F166" s="43"/>
      <c r="G166" s="43"/>
      <c r="H166" s="43"/>
      <c r="I166" s="44"/>
    </row>
    <row r="167" spans="1:9" x14ac:dyDescent="0.25">
      <c r="A167" s="89"/>
      <c r="B167" s="43"/>
      <c r="C167" s="43"/>
      <c r="D167" s="43"/>
      <c r="E167" s="43"/>
      <c r="F167" s="43"/>
      <c r="G167" s="43"/>
      <c r="H167" s="43"/>
      <c r="I167" s="44"/>
    </row>
    <row r="168" spans="1:9" x14ac:dyDescent="0.25">
      <c r="A168" s="89"/>
      <c r="B168" s="43"/>
      <c r="C168" s="43"/>
      <c r="D168" s="43"/>
      <c r="E168" s="43"/>
      <c r="F168" s="43"/>
      <c r="G168" s="43"/>
      <c r="H168" s="43"/>
      <c r="I168" s="44"/>
    </row>
    <row r="169" spans="1:9" x14ac:dyDescent="0.25">
      <c r="A169" s="89"/>
      <c r="B169" s="43"/>
      <c r="C169" s="43"/>
      <c r="D169" s="43"/>
      <c r="E169" s="43"/>
      <c r="F169" s="43"/>
      <c r="G169" s="43"/>
      <c r="H169" s="43"/>
      <c r="I169" s="44"/>
    </row>
    <row r="170" spans="1:9" x14ac:dyDescent="0.25">
      <c r="A170" s="90"/>
      <c r="B170" s="91"/>
      <c r="C170" s="91"/>
      <c r="D170" s="91"/>
      <c r="E170" s="91"/>
      <c r="F170" s="91"/>
      <c r="G170" s="91"/>
      <c r="H170" s="91"/>
      <c r="I170" s="92"/>
    </row>
  </sheetData>
  <dataValidations disablePrompts="1"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3" manualBreakCount="3">
    <brk id="43" max="16383" man="1"/>
    <brk id="84" max="16383" man="1"/>
    <brk id="125" max="16383" man="1"/>
  </row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272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100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200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10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v>55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16.590060000000001</v>
      </c>
    </row>
    <row r="20" spans="1:17" ht="18" x14ac:dyDescent="0.35">
      <c r="A20" s="45"/>
      <c r="B20" s="46" t="s">
        <v>425</v>
      </c>
      <c r="C20" s="56">
        <v>69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17" x14ac:dyDescent="0.25">
      <c r="A21" s="45"/>
      <c r="B21" s="46" t="s">
        <v>426</v>
      </c>
      <c r="C21" s="53">
        <f>2*C18/12+4*C17</f>
        <v>15.5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1.1279999999999999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2*C18/12+3*C17</f>
        <v>12.5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0.99929858399999982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17" x14ac:dyDescent="0.25">
      <c r="A23" s="45"/>
      <c r="B23" s="46" t="s">
        <v>428</v>
      </c>
      <c r="C23" s="47">
        <v>9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58.026000000000003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59.295000000000002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59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11.283958068551208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10</v>
      </c>
    </row>
    <row r="30" spans="1:17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59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29.5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69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12789.0465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22.219505098073576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2801.9397028129974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2381.6487473910479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284.16628390624999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1.6*20*C13-1.6*C21*C22*C20/12*0.15</f>
        <v>6132.625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0.11931494273348954</v>
      </c>
    </row>
    <row r="41" spans="1:25" x14ac:dyDescent="0.25">
      <c r="A41" s="45"/>
      <c r="B41" s="46" t="s">
        <v>433</v>
      </c>
      <c r="C41" s="58">
        <f>+(C40/4)^0.5</f>
        <v>39.155539199454267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40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1.6*C13*(5*(0.5*C17*12+C11-C42/4))+1.6*C13*(5*(1.5*C17*12+C11-C42/4))-1.6*(C22/2-C42/12/4)*C21*C20/12*0.15*(C22/2-C42/12/4)*12/2</f>
        <v>89034.46875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5744.1592741935483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58.026000000000003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1.9010277772675401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29.46593054764687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39.287907396862494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29.557398683269138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35.976120000000002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35.976120000000002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23.101199999999999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35.976120000000002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1.24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0.89285714285714279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5.1106285714285722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32.622994534894744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3.5640000000000001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35.976120000000002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2.5553142857142861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2.5553142857142861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40.909649891491441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52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36.001371938299485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36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2.265349544072949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40.909649891491441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52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1.6*C13*(4*(C17*12+C11-C42/4))+1.6*C13*(4*(2*C17*12+C11-C42/4))-1.6*(C21/2-C42/12/4)*C22*C20/12*0.15*(C21/2-C42/12/4)*12/2</f>
        <v>115368.53125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9229.4825000000001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59.295000000000002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3.0430970543547211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6.1995652173913047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38.038713179434012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50.718284239245349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3.0997826086956524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24.357906785451618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29.647500000000001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29.647500000000001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18.630000000000003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38.038713179434012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2.1984273820536542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3.0997826086956524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52.693721820425999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52.693721820425999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70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70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24.361864236202869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24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59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49.5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29.5</v>
      </c>
      <c r="C87" s="48" t="s">
        <v>0</v>
      </c>
      <c r="D87" s="49"/>
      <c r="E87" s="49"/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+C17*12/2+C11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+IF(M86&gt;O90,0,IF(M86&gt;O88,8,IF(M86&gt;O89,14,IF(M86&gt;O87,18,20))))</f>
        <v>14</v>
      </c>
      <c r="F88" s="49"/>
      <c r="G88" s="49"/>
      <c r="H88" s="49"/>
      <c r="I88" s="50"/>
      <c r="J88" s="4" t="s">
        <v>273</v>
      </c>
      <c r="K88" s="64"/>
      <c r="L88" s="64"/>
      <c r="M88" s="64"/>
      <c r="N88" s="64"/>
      <c r="O88" s="64">
        <f>1.5*C17*12+C11</f>
        <v>57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57</v>
      </c>
      <c r="K89" s="64"/>
      <c r="L89" s="64"/>
      <c r="M89" s="64"/>
      <c r="N89" s="64"/>
      <c r="O89" s="64">
        <f>+C17*12+C11</f>
        <v>39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396</v>
      </c>
      <c r="C90" s="48" t="s">
        <v>0</v>
      </c>
      <c r="D90" s="49"/>
      <c r="E90" s="49"/>
      <c r="F90" s="49"/>
      <c r="G90" s="49"/>
      <c r="H90" s="49"/>
      <c r="I90" s="50"/>
      <c r="J90" s="4" t="s">
        <v>248</v>
      </c>
      <c r="K90" s="64"/>
      <c r="L90" s="64"/>
      <c r="M90" s="64"/>
      <c r="N90" s="64"/>
      <c r="O90" s="64">
        <f>2*C17*12+C11</f>
        <v>75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5118.7959334202806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219.08902300206645</v>
      </c>
      <c r="P91" s="4" t="s">
        <v>5</v>
      </c>
    </row>
    <row r="92" spans="1:17" ht="18" x14ac:dyDescent="0.35">
      <c r="A92" s="68" t="s">
        <v>12</v>
      </c>
      <c r="B92" s="79">
        <f>+B91*0.85</f>
        <v>4350.9765434072388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4306.5512500000004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0.98978958103680126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59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79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+IF(M98&gt;O100,0,IF(M98&gt;O99,4,8))</f>
        <v>0</v>
      </c>
      <c r="F99" s="49"/>
      <c r="G99" s="49"/>
      <c r="H99" s="49"/>
      <c r="I99" s="50"/>
      <c r="J99" s="4" t="s">
        <v>249</v>
      </c>
      <c r="K99" s="64"/>
      <c r="L99" s="64"/>
      <c r="M99" s="64"/>
      <c r="N99" s="64"/>
      <c r="O99" s="64">
        <f>+C17*12+C11</f>
        <v>39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60</v>
      </c>
      <c r="K100" s="64"/>
      <c r="L100" s="64"/>
      <c r="M100" s="64"/>
      <c r="N100" s="64"/>
      <c r="O100" s="64">
        <f>2*C17*12+C11</f>
        <v>75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8850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109.54451150103323</v>
      </c>
      <c r="P101" s="4" t="s">
        <v>5</v>
      </c>
    </row>
    <row r="102" spans="1:17" ht="18.75" x14ac:dyDescent="0.35">
      <c r="A102" s="68" t="s">
        <v>7</v>
      </c>
      <c r="B102" s="79">
        <f>+B100*B101/1000</f>
        <v>969.46892678414406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824.04858776652247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-20.125000000000004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-2.4422103622003921E-2</v>
      </c>
      <c r="C105" s="49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59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79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+IF(M109&gt;O111,0,IF(M109&gt;O110,5,10))</f>
        <v>0</v>
      </c>
      <c r="F110" s="49"/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+C17*12/2+C11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273</v>
      </c>
      <c r="K111" s="64"/>
      <c r="L111" s="64"/>
      <c r="M111" s="64"/>
      <c r="N111" s="64"/>
      <c r="O111" s="64">
        <f>1.5*C17*12+C11</f>
        <v>57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+C21*12*B109</f>
        <v>10974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23" ht="18.75" x14ac:dyDescent="0.35">
      <c r="A113" s="68" t="s">
        <v>7</v>
      </c>
      <c r="B113" s="79">
        <f>+B111*B112/1000</f>
        <v>1202.1414692123385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1021.8202488304877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7.1299999999999937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6.9777438920011134E-3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10</v>
      </c>
      <c r="W126" s="4" t="s">
        <v>0</v>
      </c>
    </row>
    <row r="127" spans="1:23" ht="18" x14ac:dyDescent="0.35">
      <c r="A127" s="68" t="s">
        <v>1</v>
      </c>
      <c r="B127" s="53">
        <f>+B86</f>
        <v>59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6147.958333333333</v>
      </c>
      <c r="W127" s="49" t="s">
        <v>8</v>
      </c>
    </row>
    <row r="128" spans="1:23" ht="18.75" x14ac:dyDescent="0.35">
      <c r="A128" s="68" t="s">
        <v>54</v>
      </c>
      <c r="B128" s="54">
        <f>+B127/2</f>
        <v>29.5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20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1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+C17*12-C42/2+C11</f>
        <v>19</v>
      </c>
      <c r="S130" s="4" t="s">
        <v>0</v>
      </c>
      <c r="U130" s="49" t="s">
        <v>11</v>
      </c>
      <c r="V130" s="49">
        <f>+B134</f>
        <v>396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6147.958333333333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</f>
        <v>6147.958333333333</v>
      </c>
      <c r="S131" s="49" t="s">
        <v>8</v>
      </c>
      <c r="T131" s="49"/>
      <c r="U131" s="49" t="s">
        <v>2</v>
      </c>
      <c r="V131" s="49">
        <f>+B135</f>
        <v>160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29.205000000000002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15100.448003589829</v>
      </c>
      <c r="W133" s="49" t="s">
        <v>8</v>
      </c>
    </row>
    <row r="134" spans="1:23" ht="18" x14ac:dyDescent="0.35">
      <c r="A134" s="68" t="s">
        <v>11</v>
      </c>
      <c r="B134" s="58">
        <f>4*(B127+C42)</f>
        <v>396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396</v>
      </c>
      <c r="S134" s="49" t="s">
        <v>0</v>
      </c>
      <c r="T134" s="49"/>
      <c r="U134" s="45" t="s">
        <v>12</v>
      </c>
      <c r="V134" s="49">
        <f>+V133*0.85</f>
        <v>12835.380803051354</v>
      </c>
      <c r="W134" s="49" t="s">
        <v>8</v>
      </c>
    </row>
    <row r="135" spans="1:23" ht="18" x14ac:dyDescent="0.35">
      <c r="A135" s="68" t="s">
        <v>2</v>
      </c>
      <c r="B135" s="58">
        <f>4*C42</f>
        <v>160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160</v>
      </c>
      <c r="S135" s="49" t="s">
        <v>0</v>
      </c>
      <c r="T135" s="49"/>
      <c r="U135" s="45" t="s">
        <v>14</v>
      </c>
      <c r="V135" s="49">
        <f>+V127/V134</f>
        <v>0.47898526951937254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15.371052631578948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16545.60301711606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23.685526315789474</v>
      </c>
      <c r="Q137" s="49" t="s">
        <v>7</v>
      </c>
      <c r="R137" s="49">
        <f>+R136*(C9*1000)^0.5*R135*B127/1000</f>
        <v>7947.6042124156993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14063.762564548651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12246.603614765882</v>
      </c>
      <c r="Q138" s="49" t="s">
        <v>12</v>
      </c>
      <c r="R138" s="49">
        <f>+R137*0.85</f>
        <v>6755.4635805533444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0.43714889988478978</v>
      </c>
      <c r="C139" s="48"/>
      <c r="D139" s="110" t="s">
        <v>235</v>
      </c>
      <c r="F139" s="4" t="s">
        <v>14</v>
      </c>
      <c r="G139" s="88">
        <f>+(B139+R139)/2</f>
        <v>0.67361045598579872</v>
      </c>
      <c r="H139" s="49"/>
      <c r="I139" s="50"/>
      <c r="K139" s="4">
        <f>+R131/K138</f>
        <v>0.50201333583791863</v>
      </c>
      <c r="Q139" s="49" t="s">
        <v>14</v>
      </c>
      <c r="R139" s="49">
        <f>+R131/R138</f>
        <v>0.91007201208680777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59.295000000000002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+C17*12-C42/2+C11</f>
        <v>19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0.32043173960704951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8*1.6*C13-1.6*0.15*C21*C22*C20/12*((C21/2-C42/2/12)/C21)</f>
        <v>2455.0625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1.6*C13*(4*B144)+1.6*C13*(4*(B144+C17*12))-1.6*0.15*C21*C22*C20/12*((C21/2-C42/2/12)/C21)*(C21/2-C42/2/12)*12/2</f>
        <v>90889.78125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1.6016424391768465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0.62435908011649799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4140.8441535267757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0.59288937447911727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58.026000000000003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+C17*12/2-C42/2+C11</f>
        <v>1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1.7233653879295489E-2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10*1.6*C13-1.6*0.15*C21*C22*C20/12*((C22/2-C42/2/12)/C22)</f>
        <v>3101.9625000000001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1.6*C13*(5*B157)+1.6*C13*(5*(B157+C17*12))-1.6*0.15*C21*C22*C20/12*((C22/2-C42/2/12)/C22)*(C22/2-C42/2/12)*12/2</f>
        <v>58103.96875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3.0978000280746745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0.32280973301608296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5024.7577761557532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0.61733572804641557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59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41.261574074074076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29.5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69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12789.0465</v>
      </c>
      <c r="U171" s="4" t="s">
        <v>35</v>
      </c>
    </row>
    <row r="172" spans="1:32" ht="18.75" x14ac:dyDescent="0.35">
      <c r="A172" s="45"/>
      <c r="B172" s="53">
        <f>+C65</f>
        <v>36</v>
      </c>
      <c r="C172" s="48" t="s">
        <v>71</v>
      </c>
      <c r="D172" s="83" t="str">
        <f>"#"&amp;+C23</f>
        <v>#9</v>
      </c>
      <c r="E172" s="49" t="s">
        <v>72</v>
      </c>
      <c r="F172" s="49" t="s">
        <v>73</v>
      </c>
      <c r="G172" s="57">
        <f>+C22-0.5</f>
        <v>12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22.219505098073576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1.3825050000000001</v>
      </c>
      <c r="H173" s="48" t="s">
        <v>74</v>
      </c>
      <c r="I173" s="50"/>
      <c r="Q173" s="4" t="s">
        <v>7</v>
      </c>
      <c r="R173" s="4">
        <f>+R172*T171/1000</f>
        <v>2801.9397028129974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1468.96891848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2381.6487473910479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284.16628390624999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24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15</v>
      </c>
      <c r="H176" s="48" t="s">
        <v>74</v>
      </c>
      <c r="I176" s="50"/>
      <c r="Q176" s="4" t="s">
        <v>14</v>
      </c>
      <c r="R176" s="4">
        <f>+R175/R174</f>
        <v>0.11931494273348954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1912.7199459374997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59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3381.6888644174996</v>
      </c>
      <c r="D180" s="48" t="s">
        <v>78</v>
      </c>
      <c r="E180" s="49" t="s">
        <v>79</v>
      </c>
      <c r="F180" s="88">
        <f>+C180/2000</f>
        <v>1.6908444322087499</v>
      </c>
      <c r="G180" s="48" t="s">
        <v>19</v>
      </c>
      <c r="H180" s="49"/>
      <c r="I180" s="50"/>
      <c r="Q180" s="4" t="s">
        <v>54</v>
      </c>
      <c r="T180" s="4">
        <f>+T179/2</f>
        <v>29.5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216.76350000000002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17037.0465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34.064665134666974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3732.6298725257757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3172.7353916469092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580.36128390625004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0.1829214265501653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59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29.5</v>
      </c>
      <c r="U192" s="4" t="s">
        <v>0</v>
      </c>
      <c r="W192" s="64"/>
    </row>
    <row r="193" spans="1:54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96.190875000000005</v>
      </c>
      <c r="U193" s="4" t="s">
        <v>0</v>
      </c>
      <c r="V193" s="64"/>
      <c r="W193" s="64"/>
    </row>
    <row r="194" spans="1:54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5675.2616250000001</v>
      </c>
      <c r="U194" s="4" t="s">
        <v>35</v>
      </c>
    </row>
    <row r="195" spans="1:54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51.615077917498212</v>
      </c>
      <c r="AF195" s="4" t="s">
        <v>5</v>
      </c>
    </row>
    <row r="196" spans="1:54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1243.3875247023702</v>
      </c>
      <c r="S196" s="4" t="s">
        <v>8</v>
      </c>
      <c r="T196" s="4" t="s">
        <v>87</v>
      </c>
    </row>
    <row r="197" spans="1:54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1056.8793959970146</v>
      </c>
      <c r="S197" s="4" t="s">
        <v>8</v>
      </c>
    </row>
    <row r="198" spans="1:54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292.92907097656251</v>
      </c>
      <c r="S198" s="4" t="s">
        <v>8</v>
      </c>
      <c r="T198" s="4" t="s">
        <v>350</v>
      </c>
    </row>
    <row r="199" spans="1:54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0.27716414198824058</v>
      </c>
      <c r="T199" s="4" t="s">
        <v>146</v>
      </c>
      <c r="V199" s="4">
        <f>+(C18*C18+C18*T170+3.1415*T170^2/4/4)/144</f>
        <v>19.616615234375001</v>
      </c>
      <c r="W199" s="4" t="s">
        <v>147</v>
      </c>
    </row>
    <row r="200" spans="1:54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4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4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59</v>
      </c>
      <c r="U202" s="4" t="s">
        <v>0</v>
      </c>
      <c r="V202" s="4" t="s">
        <v>53</v>
      </c>
      <c r="W202" s="64"/>
    </row>
    <row r="203" spans="1:54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4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95.3964</v>
      </c>
      <c r="U204" s="4" t="s">
        <v>0</v>
      </c>
      <c r="V204" s="64"/>
      <c r="W204" s="64"/>
    </row>
    <row r="205" spans="1:54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5628.3876</v>
      </c>
      <c r="U205" s="4" t="s">
        <v>35</v>
      </c>
    </row>
    <row r="206" spans="1:54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52.980928553081483</v>
      </c>
      <c r="AF206" s="4" t="s">
        <v>5</v>
      </c>
    </row>
    <row r="207" spans="1:54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616.55897018047278</v>
      </c>
      <c r="S207" s="4" t="s">
        <v>8</v>
      </c>
      <c r="T207" s="4" t="s">
        <v>93</v>
      </c>
    </row>
    <row r="208" spans="1:54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524.07512465340187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</row>
    <row r="209" spans="1:54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298.19720130464975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</row>
    <row r="210" spans="1:54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0.56899705266847589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</row>
    <row r="211" spans="1:54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</row>
    <row r="212" spans="1:54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</row>
    <row r="213" spans="1:54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</row>
    <row r="214" spans="1:54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4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4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4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4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279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50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100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8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21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21" x14ac:dyDescent="0.25">
      <c r="A18" s="45"/>
      <c r="B18" s="46" t="s">
        <v>423</v>
      </c>
      <c r="C18" s="55">
        <f>+IF(C12&lt;61,15,IF(C12&lt;121,21,IF(C12&lt;201,27,IF(C12&lt;281,30,36))))</f>
        <v>15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21" ht="18" x14ac:dyDescent="0.35">
      <c r="A19" s="45"/>
      <c r="B19" s="46" t="s">
        <v>424</v>
      </c>
      <c r="C19" s="54">
        <f>17+30/200*C12</f>
        <v>24.5</v>
      </c>
      <c r="D19" s="48" t="s">
        <v>0</v>
      </c>
      <c r="E19" s="46" t="s">
        <v>260</v>
      </c>
      <c r="F19" s="57">
        <f>+C21-2*U26</f>
        <v>3.3335314036045922</v>
      </c>
      <c r="G19" s="48" t="s">
        <v>422</v>
      </c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20.737575</v>
      </c>
    </row>
    <row r="20" spans="1:21" ht="18" x14ac:dyDescent="0.35">
      <c r="A20" s="45"/>
      <c r="B20" s="46" t="s">
        <v>425</v>
      </c>
      <c r="C20" s="56">
        <v>60</v>
      </c>
      <c r="D20" s="48" t="s">
        <v>0</v>
      </c>
      <c r="E20" s="46" t="s">
        <v>261</v>
      </c>
      <c r="F20" s="74">
        <f>2*S27</f>
        <v>10.918008784773061</v>
      </c>
      <c r="G20" s="48" t="s">
        <v>422</v>
      </c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21" x14ac:dyDescent="0.25">
      <c r="A21" s="45"/>
      <c r="B21" s="46" t="s">
        <v>426</v>
      </c>
      <c r="C21" s="53">
        <f>2*C18/12+2*C17*0.866+2*C17</f>
        <v>13.696</v>
      </c>
      <c r="D21" s="48" t="s">
        <v>422</v>
      </c>
      <c r="I21" s="50"/>
      <c r="J21" s="4" t="s">
        <v>34</v>
      </c>
      <c r="L21" s="4">
        <f>+IF(C23&lt;9,(C23/8),IF(C23=9,1.128,IF(C23=10,1.27,IF(C23=11,1.41,IF(C23=14,1.693,0)))))</f>
        <v>1.41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21" ht="17.25" x14ac:dyDescent="0.25">
      <c r="A22" s="45"/>
      <c r="B22" s="46" t="s">
        <v>427</v>
      </c>
      <c r="C22" s="54">
        <f>2*C18/12+2*C17*0.866+2*C17</f>
        <v>13.696</v>
      </c>
      <c r="D22" s="48" t="s">
        <v>422</v>
      </c>
      <c r="I22" s="50"/>
      <c r="J22" s="4" t="s">
        <v>36</v>
      </c>
      <c r="L22" s="4">
        <f>3.1415*L21^2/4</f>
        <v>1.5614040375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21" x14ac:dyDescent="0.25">
      <c r="A23" s="45"/>
      <c r="B23" s="46" t="s">
        <v>428</v>
      </c>
      <c r="C23" s="47">
        <v>11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21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21" ht="18" x14ac:dyDescent="0.35">
      <c r="A25" s="45"/>
      <c r="B25" s="46" t="s">
        <v>430</v>
      </c>
      <c r="C25" s="57">
        <f>+C20-C14-C15-P21-0.5*L21</f>
        <v>48.885000000000005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21" ht="18" x14ac:dyDescent="0.35">
      <c r="A26" s="45"/>
      <c r="B26" s="46" t="s">
        <v>431</v>
      </c>
      <c r="C26" s="58">
        <f>+C20-C14-C15-P21/2</f>
        <v>50.295000000000002</v>
      </c>
      <c r="D26" s="48" t="s">
        <v>0</v>
      </c>
      <c r="E26" s="49"/>
      <c r="F26" s="49"/>
      <c r="G26" s="49"/>
      <c r="H26" s="49"/>
      <c r="I26" s="50"/>
      <c r="O26" s="93"/>
      <c r="P26" s="93" t="s">
        <v>258</v>
      </c>
      <c r="Q26" s="93">
        <f>+C21/2</f>
        <v>6.8479999999999999</v>
      </c>
      <c r="R26" s="93" t="s">
        <v>262</v>
      </c>
      <c r="S26" s="93">
        <f>+Q26</f>
        <v>6.8479999999999999</v>
      </c>
      <c r="T26" s="93" t="s">
        <v>265</v>
      </c>
      <c r="U26" s="93">
        <f>+U27*1.366/0.3662</f>
        <v>5.1812342981977038</v>
      </c>
    </row>
    <row r="27" spans="1:21" ht="18" x14ac:dyDescent="0.35">
      <c r="A27" s="45"/>
      <c r="B27" s="46" t="s">
        <v>432</v>
      </c>
      <c r="C27" s="54">
        <f>+C20-C14-C15-1</f>
        <v>50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9.027166454840966</v>
      </c>
      <c r="O27" s="93"/>
      <c r="P27" s="93" t="s">
        <v>259</v>
      </c>
      <c r="Q27" s="93">
        <f>1.5*C17-0.3662/1.366*C18/12</f>
        <v>4.1648975109809667</v>
      </c>
      <c r="R27" s="93" t="s">
        <v>263</v>
      </c>
      <c r="S27" s="93">
        <f>+Q27+1.4142/1.366*C18/12</f>
        <v>5.4590043923865306</v>
      </c>
      <c r="T27" s="93" t="s">
        <v>264</v>
      </c>
      <c r="U27" s="93">
        <f>+(C22-F20)/2</f>
        <v>1.3889956076134693</v>
      </c>
    </row>
    <row r="28" spans="1:21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  <c r="O28" s="93"/>
      <c r="P28" s="93"/>
      <c r="Q28" s="93"/>
      <c r="R28" s="93"/>
      <c r="S28" s="93"/>
      <c r="T28" s="93"/>
      <c r="U28" s="93"/>
    </row>
    <row r="29" spans="1:21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M29" s="4">
        <f>+IF(C8="Round",C16,L27)</f>
        <v>8</v>
      </c>
    </row>
    <row r="30" spans="1:21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21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21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50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58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+IF(B130&gt;B128,"NA",IF(B139&lt;1,"OK","NG"))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9110.35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+IF(G152&lt;1,"OK","NG")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15.145776049584628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+IF(G165&lt;1,"OK","NG")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1995.9776807068761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1696.5810286008445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137.98332083333332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1.6*21*C13-1.6*C21*C22*C20/12*0.15+1.6*2*U26*U27*C20/12*0.15</f>
        <v>3152.1756088373108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8.1330227385088091E-2</v>
      </c>
    </row>
    <row r="41" spans="1:25" x14ac:dyDescent="0.25">
      <c r="A41" s="45"/>
      <c r="B41" s="46" t="s">
        <v>433</v>
      </c>
      <c r="C41" s="58">
        <f>+(C40/4)^0.5</f>
        <v>28.072119660070697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29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1.6*C13*(2*(0.5*C17*12+C11-C42/4))+1.6*C13*(3*(1*C17*12+C11-C42/4))+1.6*C13*(2*(1.5*C17*12+C11-C42/4))+1.6*C13*(2*(2*C17*12+C11-C42/4))-1.6*(C22/2-C42/12/4)*C21*C20/12*0.15*(C22/2-C42/12/4)*12/2+1.6*U26*U27*C20/12*0.15*(C22*12/2-U27*12/3)</f>
        <v>54057.292140676131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3946.9401387760026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48.885000000000005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1.5489619723169916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21.214583172853516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28.28611089713802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22.002966857698446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26.781158399999999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26.781158399999999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17.750015999999999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26.781158399999999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1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9.8088750000000005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21.214583172853516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3.7050000000000001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26.781158399999999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3.7050000000000001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3.7050000000000001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46.337328364937051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64.676000000000002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17.151972043622948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17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46.337328364937051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64.676000000000002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1.6*C13*(2*(0.5*C17*12+C11-C42/4))+1.6*C13*(3*(1*C17*12+C11-C42/4))+1.6*C13*(4*(1.866*C17*12+C11-C42/4))-1.6*(C21/2-C42/12/4)*C22*C20/12*0.15*(C21/2-C42/12/4)*12/2+1.6*U26*U27*C20/12*0.15*(C21*12/2-U26*12/3)</f>
        <v>56598.932227942059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4132.5154956149281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50.295000000000002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1.5758143094463897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9.8088750000000005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21.582352782177754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28.776470376237004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3.7050000000000001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22.637602906984622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27.553612799999996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27.553612799999996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17.750015999999999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27.553612799999996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3.7050000000000001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46.337328364937051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46.337328364937051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64.676000000000002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64.676000000000002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17.646689862616675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17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50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39.5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25</v>
      </c>
      <c r="C87" s="48" t="s">
        <v>0</v>
      </c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0.5*C17*12+C11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+IF(M86&gt;O90,0,IF(M86&gt;O93,4,IF(M86&gt;O92,12,20)))</f>
        <v>12</v>
      </c>
      <c r="G88" s="49"/>
      <c r="H88" s="49"/>
      <c r="I88" s="50"/>
      <c r="J88" s="4" t="s">
        <v>251</v>
      </c>
      <c r="K88" s="64"/>
      <c r="L88" s="64"/>
      <c r="M88" s="64"/>
      <c r="N88" s="64"/>
      <c r="O88" s="64">
        <f>1*C17*12+C11</f>
        <v>39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266</v>
      </c>
      <c r="K89" s="64"/>
      <c r="L89" s="64"/>
      <c r="M89" s="64"/>
      <c r="N89" s="64"/>
      <c r="O89" s="64">
        <f>1.5*C17*12+C11</f>
        <v>57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316</v>
      </c>
      <c r="C90" s="48" t="s">
        <v>0</v>
      </c>
      <c r="D90" s="49"/>
      <c r="E90" s="49"/>
      <c r="F90" s="49"/>
      <c r="G90" s="49"/>
      <c r="H90" s="49"/>
      <c r="I90" s="50"/>
      <c r="J90" s="4" t="s">
        <v>285</v>
      </c>
      <c r="K90" s="64"/>
      <c r="L90" s="64"/>
      <c r="M90" s="64"/>
      <c r="N90" s="64"/>
      <c r="O90" s="64">
        <f>2*C17*12+C11</f>
        <v>75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3461.6065634326501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241</v>
      </c>
      <c r="K91" s="64"/>
      <c r="L91" s="64"/>
      <c r="M91" s="64"/>
      <c r="N91" s="64"/>
      <c r="O91" s="64">
        <f>+C17*12*0.5+C11</f>
        <v>21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2942.3655789177524</v>
      </c>
      <c r="C92" s="48" t="s">
        <v>18</v>
      </c>
      <c r="D92" s="49"/>
      <c r="E92" s="49"/>
      <c r="F92" s="49"/>
      <c r="G92" s="49"/>
      <c r="H92" s="49"/>
      <c r="I92" s="50"/>
      <c r="J92" s="4" t="s">
        <v>242</v>
      </c>
      <c r="K92" s="64"/>
      <c r="L92" s="64"/>
      <c r="M92" s="64"/>
      <c r="N92" s="64"/>
      <c r="O92" s="64">
        <f>+C17*12*1+C11</f>
        <v>39</v>
      </c>
      <c r="P92" s="4" t="s">
        <v>0</v>
      </c>
      <c r="Q92" s="4" t="s">
        <v>120</v>
      </c>
    </row>
    <row r="93" spans="1:17" ht="18" x14ac:dyDescent="0.35">
      <c r="A93" s="68" t="s">
        <v>58</v>
      </c>
      <c r="B93" s="79">
        <f>+E88*1.6*C13-1.6*0.15*C21*C22*C20/12+1.6*0.15*(2*M86)/12*(2*M86)/12*C20/12+1.6*2*U26*U27*C20/12*0.15</f>
        <v>1764.1839421706445</v>
      </c>
      <c r="C93" s="48" t="s">
        <v>18</v>
      </c>
      <c r="D93" s="49" t="s">
        <v>132</v>
      </c>
      <c r="E93" s="49"/>
      <c r="F93" s="49"/>
      <c r="G93" s="49"/>
      <c r="H93" s="49"/>
      <c r="I93" s="50"/>
      <c r="J93" s="4" t="s">
        <v>243</v>
      </c>
      <c r="K93" s="64"/>
      <c r="L93" s="64"/>
      <c r="M93" s="64"/>
      <c r="N93" s="64"/>
      <c r="O93" s="64">
        <f>+C17*12*(1.866)+C11</f>
        <v>70.176000000000002</v>
      </c>
      <c r="P93" s="4" t="s">
        <v>0</v>
      </c>
      <c r="Q93" s="4" t="s">
        <v>120</v>
      </c>
    </row>
    <row r="94" spans="1:17" ht="18" x14ac:dyDescent="0.35">
      <c r="A94" s="68" t="s">
        <v>14</v>
      </c>
      <c r="B94" s="74">
        <f>+B93/B92</f>
        <v>0.59958013199010396</v>
      </c>
      <c r="C94" s="48"/>
      <c r="D94" s="49"/>
      <c r="E94" s="49"/>
      <c r="F94" s="49"/>
      <c r="G94" s="49"/>
      <c r="H94" s="49"/>
      <c r="I94" s="50"/>
      <c r="K94" s="64"/>
      <c r="L94" s="64"/>
      <c r="M94" s="64"/>
      <c r="N94" s="64"/>
      <c r="O94" s="64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  <c r="L95" s="4" t="s">
        <v>83</v>
      </c>
      <c r="O95" s="4">
        <f>+B89</f>
        <v>219.08902300206645</v>
      </c>
      <c r="P95" s="4" t="s">
        <v>5</v>
      </c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50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64.5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+IF(M98&gt;O101,0,IF(M98&gt;O100,4,IF(M98&gt;O99,7,9)))</f>
        <v>4</v>
      </c>
      <c r="G99" s="49"/>
      <c r="H99" s="49"/>
      <c r="I99" s="50"/>
      <c r="J99" s="4" t="s">
        <v>241</v>
      </c>
      <c r="K99" s="64"/>
      <c r="L99" s="64"/>
      <c r="M99" s="64"/>
      <c r="N99" s="64"/>
      <c r="O99" s="64">
        <f>+C17*12*0.5+C11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242</v>
      </c>
      <c r="K100" s="64"/>
      <c r="L100" s="64"/>
      <c r="M100" s="64"/>
      <c r="N100" s="64"/>
      <c r="O100" s="64">
        <f>+C17*12*1+C11</f>
        <v>39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+M105*12*B98</f>
        <v>7024.6669985358722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243</v>
      </c>
      <c r="K101" s="64"/>
      <c r="L101" s="64"/>
      <c r="M101" s="64"/>
      <c r="N101" s="64"/>
      <c r="O101" s="64">
        <f>+C17*12*(1.866)+C11</f>
        <v>70.176000000000002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769.51371481204137</v>
      </c>
      <c r="C102" s="48" t="s">
        <v>18</v>
      </c>
      <c r="D102" s="49" t="s">
        <v>63</v>
      </c>
      <c r="E102" s="49"/>
      <c r="F102" s="49"/>
      <c r="G102" s="49"/>
      <c r="H102" s="49"/>
      <c r="I102" s="50"/>
      <c r="K102" s="64"/>
      <c r="L102" s="64"/>
      <c r="M102" s="64"/>
      <c r="N102" s="64"/>
      <c r="O102" s="64"/>
    </row>
    <row r="103" spans="1:17" ht="18" x14ac:dyDescent="0.35">
      <c r="A103" s="68" t="s">
        <v>12</v>
      </c>
      <c r="B103" s="79">
        <f>+B102*0.85</f>
        <v>654.08665759023518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+E99*C13*1.6-1.6*0.15*C21*C22*C20/12*((C21/2-M98/12)/C21)+1.6*U26*U27*C20/12*0.15</f>
        <v>624.42700441865543</v>
      </c>
      <c r="C104" s="48" t="s">
        <v>18</v>
      </c>
      <c r="D104" s="49" t="s">
        <v>132</v>
      </c>
      <c r="E104" s="49"/>
      <c r="F104" s="49"/>
      <c r="G104" s="49"/>
      <c r="H104" s="49"/>
      <c r="I104" s="50"/>
      <c r="L104" s="4" t="s">
        <v>270</v>
      </c>
      <c r="M104" s="4">
        <f>+C22</f>
        <v>13.696</v>
      </c>
    </row>
    <row r="105" spans="1:17" ht="18" x14ac:dyDescent="0.35">
      <c r="A105" s="68" t="s">
        <v>14</v>
      </c>
      <c r="B105" s="74">
        <f>+B104/B103</f>
        <v>0.95465485677257067</v>
      </c>
      <c r="C105" s="49"/>
      <c r="D105" s="49"/>
      <c r="E105" s="49"/>
      <c r="F105" s="49"/>
      <c r="G105" s="49"/>
      <c r="H105" s="49"/>
      <c r="I105" s="50"/>
      <c r="L105" s="4" t="s">
        <v>269</v>
      </c>
      <c r="M105" s="4">
        <f>+IF(M98/12&lt;F19/2,C22,C22-2*(M98/12-F19/2)/1.366*0.3662)</f>
        <v>11.70777833089312</v>
      </c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50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64.5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+IF(M109&gt;O113,0,IF(M109&gt;O112,2,IF(M109&gt;O111,4,IF(M109&gt;O110,7,9))))</f>
        <v>2</v>
      </c>
      <c r="G110" s="49"/>
      <c r="H110" s="49"/>
      <c r="I110" s="50"/>
      <c r="J110" s="4" t="s">
        <v>252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253</v>
      </c>
      <c r="K111" s="64"/>
      <c r="L111" s="64"/>
      <c r="M111" s="64"/>
      <c r="N111" s="64"/>
      <c r="O111" s="64">
        <f>1*C17*12+C11</f>
        <v>39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+M116*12*B109</f>
        <v>8217.6</v>
      </c>
      <c r="C112" s="48" t="s">
        <v>436</v>
      </c>
      <c r="D112" s="49"/>
      <c r="E112" s="49"/>
      <c r="F112" s="49"/>
      <c r="G112" s="49"/>
      <c r="H112" s="49"/>
      <c r="I112" s="50"/>
      <c r="J112" s="4" t="s">
        <v>267</v>
      </c>
      <c r="K112" s="64"/>
      <c r="L112" s="64"/>
      <c r="M112" s="64"/>
      <c r="N112" s="64"/>
      <c r="O112" s="64">
        <f>1.5*C17*12+C11</f>
        <v>57</v>
      </c>
      <c r="P112" s="4" t="s">
        <v>0</v>
      </c>
      <c r="Q112" s="4" t="s">
        <v>120</v>
      </c>
    </row>
    <row r="113" spans="1:17" ht="18.75" x14ac:dyDescent="0.35">
      <c r="A113" s="68" t="s">
        <v>7</v>
      </c>
      <c r="B113" s="79">
        <f>+B111*B112/1000</f>
        <v>900.19297771089066</v>
      </c>
      <c r="C113" s="48" t="s">
        <v>18</v>
      </c>
      <c r="D113" s="49" t="s">
        <v>63</v>
      </c>
      <c r="E113" s="49"/>
      <c r="F113" s="49"/>
      <c r="G113" s="49"/>
      <c r="H113" s="49"/>
      <c r="I113" s="50"/>
      <c r="J113" s="4" t="s">
        <v>286</v>
      </c>
      <c r="K113" s="64"/>
      <c r="L113" s="64"/>
      <c r="M113" s="64"/>
      <c r="N113" s="64"/>
      <c r="O113" s="64">
        <f>2*C17*12+C11</f>
        <v>75</v>
      </c>
      <c r="P113" s="4" t="s">
        <v>0</v>
      </c>
      <c r="Q113" s="4" t="s">
        <v>120</v>
      </c>
    </row>
    <row r="114" spans="1:17" ht="18" x14ac:dyDescent="0.35">
      <c r="A114" s="68" t="s">
        <v>12</v>
      </c>
      <c r="B114" s="79">
        <f>+B113*0.85</f>
        <v>765.16403105425707</v>
      </c>
      <c r="C114" s="48" t="s">
        <v>18</v>
      </c>
      <c r="D114" s="49"/>
      <c r="E114" s="49"/>
      <c r="F114" s="49"/>
      <c r="G114" s="49"/>
      <c r="H114" s="49"/>
      <c r="I114" s="50"/>
      <c r="L114" s="4" t="s">
        <v>83</v>
      </c>
      <c r="O114" s="4">
        <f>+B111</f>
        <v>109.54451150103323</v>
      </c>
      <c r="P114" s="4" t="s">
        <v>5</v>
      </c>
    </row>
    <row r="115" spans="1:17" ht="18" x14ac:dyDescent="0.35">
      <c r="A115" s="68" t="s">
        <v>58</v>
      </c>
      <c r="B115" s="79">
        <f>+E110*C13*1.6-1.6*0.15*C21*C22*C20/12*((C22/2-M109/12)/C22)+1.6*U26*U27*C20/12*0.15</f>
        <v>304.42700441865543</v>
      </c>
      <c r="C115" s="48" t="s">
        <v>18</v>
      </c>
      <c r="D115" s="49" t="s">
        <v>132</v>
      </c>
      <c r="E115" s="49"/>
      <c r="F115" s="49"/>
      <c r="G115" s="49"/>
      <c r="H115" s="49"/>
      <c r="I115" s="50"/>
      <c r="L115" s="4" t="s">
        <v>270</v>
      </c>
      <c r="M115" s="4">
        <f>+C21</f>
        <v>13.696</v>
      </c>
    </row>
    <row r="116" spans="1:17" ht="18" x14ac:dyDescent="0.35">
      <c r="A116" s="68" t="s">
        <v>14</v>
      </c>
      <c r="B116" s="74">
        <f>+B115/B114</f>
        <v>0.39785848793651513</v>
      </c>
      <c r="C116" s="48"/>
      <c r="D116" s="49"/>
      <c r="E116" s="49"/>
      <c r="F116" s="49"/>
      <c r="G116" s="49"/>
      <c r="H116" s="49"/>
      <c r="I116" s="50"/>
      <c r="L116" s="4" t="s">
        <v>269</v>
      </c>
      <c r="M116" s="4">
        <f>+IF(M109/12&lt;F20/2,C21,C21-2*(M109/12-F20/2)/1.366*0.3662)</f>
        <v>13.696</v>
      </c>
    </row>
    <row r="117" spans="1:17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17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17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17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17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17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17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17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17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17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17" x14ac:dyDescent="0.25">
      <c r="A127" s="68" t="s">
        <v>1</v>
      </c>
      <c r="B127" s="53">
        <f>+B86</f>
        <v>50</v>
      </c>
      <c r="C127" s="48" t="s">
        <v>0</v>
      </c>
      <c r="F127" s="49"/>
      <c r="G127" s="49"/>
      <c r="H127" s="49"/>
      <c r="I127" s="50"/>
      <c r="K127" s="4" t="s">
        <v>352</v>
      </c>
    </row>
    <row r="128" spans="1:17" x14ac:dyDescent="0.25">
      <c r="A128" s="68" t="s">
        <v>54</v>
      </c>
      <c r="B128" s="54">
        <f>+B127/2</f>
        <v>25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</row>
    <row r="129" spans="1:24" x14ac:dyDescent="0.25">
      <c r="A129" s="68"/>
      <c r="B129" s="49"/>
      <c r="C129" s="48"/>
      <c r="D129" s="46" t="s">
        <v>453</v>
      </c>
      <c r="E129" s="83">
        <v>20</v>
      </c>
      <c r="G129" s="49"/>
      <c r="H129" s="49"/>
      <c r="I129" s="50"/>
    </row>
    <row r="130" spans="1:24" ht="18" x14ac:dyDescent="0.35">
      <c r="A130" s="68" t="s">
        <v>454</v>
      </c>
      <c r="B130" s="57">
        <f>+C17*12/2-C42/2+C11</f>
        <v>6.5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K130" s="4">
        <v>1</v>
      </c>
      <c r="L130" s="49" t="s">
        <v>14</v>
      </c>
      <c r="M130" s="49">
        <f>+IF(B130&gt;0,B139,V139)</f>
        <v>0.34709277789767823</v>
      </c>
      <c r="Q130" s="49" t="s">
        <v>16</v>
      </c>
      <c r="R130" s="4">
        <f>+C17*12/2-C42/2+C11</f>
        <v>6.5</v>
      </c>
      <c r="S130" s="4" t="s">
        <v>0</v>
      </c>
      <c r="U130" s="45" t="s">
        <v>16</v>
      </c>
      <c r="V130" s="49">
        <f>+C17*12/2-C42/2+C11+C17*12/2</f>
        <v>24.5</v>
      </c>
      <c r="W130" s="49" t="s">
        <v>16</v>
      </c>
      <c r="X130" s="4">
        <f>+C17*12/2-C42/2+C11+C17*12/2</f>
        <v>24.5</v>
      </c>
    </row>
    <row r="131" spans="1:24" ht="18" x14ac:dyDescent="0.35">
      <c r="A131" s="68" t="s">
        <v>58</v>
      </c>
      <c r="B131" s="79">
        <f>+C13*E129*1.6-1.6*0.15*C21*C22*C20/12+1.6*0.15*(C42)/12*(C42)/12*C20/12+1.6*2*U26*U27*C20/12*0.15</f>
        <v>2999.1839421706441</v>
      </c>
      <c r="C131" s="48" t="s">
        <v>18</v>
      </c>
      <c r="D131" s="49"/>
      <c r="E131" s="49"/>
      <c r="F131" s="49"/>
      <c r="G131" s="49"/>
      <c r="H131" s="49"/>
      <c r="I131" s="50"/>
      <c r="K131" s="4">
        <v>2</v>
      </c>
      <c r="L131" s="49" t="s">
        <v>14</v>
      </c>
      <c r="M131" s="49">
        <f>+IF(R130&gt;0,R139,X139)</f>
        <v>0.34709277789767823</v>
      </c>
      <c r="Q131" s="49" t="s">
        <v>13</v>
      </c>
      <c r="R131" s="49">
        <f>+C13*E129*1.6-1.6*0.15*C21*C22*C20/12+1.6*0.15*(C42)/12*(C42)/12*C20/12+1.6*2*U26*U27*C20/12*0.15</f>
        <v>2999.1839421706441</v>
      </c>
      <c r="S131" s="49" t="s">
        <v>8</v>
      </c>
      <c r="T131" s="49"/>
      <c r="U131" s="45" t="s">
        <v>13</v>
      </c>
      <c r="V131" s="49">
        <f>+C13*(E129-4)*1.6-1.6*0.15*C21*C22*C20/12+1.6*0.15*(C42)/12*(C42)/12*C20/12</f>
        <v>2341.9118341333333</v>
      </c>
      <c r="W131" s="49" t="s">
        <v>13</v>
      </c>
      <c r="X131" s="49">
        <f>+C13*(E129-4)*1.6-1.6*0.15*C21*C22*C20/12+1.6*0.15*(C42)/12*(C42)/12*C20/12</f>
        <v>2341.9118341333333</v>
      </c>
    </row>
    <row r="132" spans="1:24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5" t="s">
        <v>3</v>
      </c>
      <c r="V132" s="49">
        <f>4*(C9*1000)^0.5</f>
        <v>219.08902300206645</v>
      </c>
      <c r="W132" s="49" t="s">
        <v>3</v>
      </c>
      <c r="X132" s="49">
        <f>+B132</f>
        <v>219.08902300206645</v>
      </c>
    </row>
    <row r="133" spans="1:24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4</v>
      </c>
      <c r="V133" s="49">
        <f>+V132*8</f>
        <v>1752.7121840165316</v>
      </c>
      <c r="W133" s="49" t="s">
        <v>4</v>
      </c>
      <c r="X133" s="49">
        <f>+X132*8</f>
        <v>1752.7121840165316</v>
      </c>
    </row>
    <row r="134" spans="1:24" ht="18" x14ac:dyDescent="0.35">
      <c r="A134" s="68" t="s">
        <v>11</v>
      </c>
      <c r="B134" s="58">
        <f>4*(B127+C42)</f>
        <v>316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316</v>
      </c>
      <c r="S134" s="49" t="s">
        <v>0</v>
      </c>
      <c r="T134" s="49"/>
      <c r="U134" s="45" t="s">
        <v>11</v>
      </c>
      <c r="V134" s="49">
        <f>4*(B127+C42)</f>
        <v>316</v>
      </c>
      <c r="W134" s="49" t="s">
        <v>11</v>
      </c>
      <c r="X134" s="49">
        <f>+B134</f>
        <v>316</v>
      </c>
    </row>
    <row r="135" spans="1:24" ht="18" x14ac:dyDescent="0.35">
      <c r="A135" s="68" t="s">
        <v>2</v>
      </c>
      <c r="B135" s="58">
        <f>4*C42</f>
        <v>116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116</v>
      </c>
      <c r="S135" s="49" t="s">
        <v>0</v>
      </c>
      <c r="T135" s="49"/>
      <c r="U135" s="45" t="s">
        <v>2</v>
      </c>
      <c r="V135" s="49">
        <f>4*C42</f>
        <v>116</v>
      </c>
      <c r="W135" s="49" t="s">
        <v>2</v>
      </c>
      <c r="X135" s="49">
        <f>+B135</f>
        <v>116</v>
      </c>
    </row>
    <row r="136" spans="1:24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32</v>
      </c>
      <c r="S136" s="49"/>
      <c r="T136" s="49"/>
      <c r="U136" s="45" t="s">
        <v>6</v>
      </c>
      <c r="V136" s="49">
        <f>IF(2*B127/V130*(1+B127/C42)&lt;32,2*B127/V130*(1+B127/C42),32)</f>
        <v>11.11893033075299</v>
      </c>
      <c r="W136" s="49" t="s">
        <v>6</v>
      </c>
      <c r="X136" s="49">
        <f>IF(2*B127/X130*(1+B127/C42)&lt;32,2*B127/X130*(1+B127/C42),32)</f>
        <v>11.11893033075299</v>
      </c>
    </row>
    <row r="137" spans="1:24" ht="18.75" x14ac:dyDescent="0.35">
      <c r="A137" s="68" t="s">
        <v>7</v>
      </c>
      <c r="B137" s="79">
        <f>+B136*(C9*1000)^0.5*B135*B127/1000</f>
        <v>10165.730667295882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32</v>
      </c>
      <c r="Q137" s="49" t="s">
        <v>7</v>
      </c>
      <c r="R137" s="49">
        <f>+R136*(C9*1000)^0.5*R135*B127/1000</f>
        <v>10165.730667295882</v>
      </c>
      <c r="S137" s="49" t="s">
        <v>8</v>
      </c>
      <c r="T137" s="49"/>
      <c r="U137" s="45" t="s">
        <v>7</v>
      </c>
      <c r="V137" s="49">
        <f>+V136*(C9*1000)^0.5*V135*B127/1000</f>
        <v>3532.2515953394391</v>
      </c>
      <c r="W137" s="49" t="s">
        <v>7</v>
      </c>
      <c r="X137" s="49">
        <f>+X136*(C9*1000)^0.5*X135*B127/1000</f>
        <v>3532.2515953394391</v>
      </c>
    </row>
    <row r="138" spans="1:24" ht="18" x14ac:dyDescent="0.35">
      <c r="A138" s="68" t="s">
        <v>12</v>
      </c>
      <c r="B138" s="79">
        <f>+B137*0.85</f>
        <v>8640.8710672015004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10165.730667295882</v>
      </c>
      <c r="Q138" s="49" t="s">
        <v>12</v>
      </c>
      <c r="R138" s="49">
        <f>+R137*0.85</f>
        <v>8640.8710672015004</v>
      </c>
      <c r="S138" s="49" t="s">
        <v>8</v>
      </c>
      <c r="T138" s="49"/>
      <c r="U138" s="45" t="s">
        <v>12</v>
      </c>
      <c r="V138" s="49">
        <f>+V137*0.85</f>
        <v>3002.4138560385231</v>
      </c>
      <c r="W138" s="49" t="s">
        <v>12</v>
      </c>
      <c r="X138" s="49">
        <f>+X137*0.85</f>
        <v>3002.4138560385231</v>
      </c>
    </row>
    <row r="139" spans="1:24" ht="18" x14ac:dyDescent="0.35">
      <c r="A139" s="68" t="s">
        <v>14</v>
      </c>
      <c r="B139" s="74">
        <f>+B131/B138</f>
        <v>0.34709277789767823</v>
      </c>
      <c r="C139" s="48"/>
      <c r="D139" s="110"/>
      <c r="H139" s="49"/>
      <c r="I139" s="50"/>
      <c r="K139" s="4">
        <f>+R131/K138</f>
        <v>0.29502886121302652</v>
      </c>
      <c r="Q139" s="49" t="s">
        <v>14</v>
      </c>
      <c r="R139" s="49">
        <f>+R131/R138</f>
        <v>0.34709277789767823</v>
      </c>
      <c r="S139" s="49"/>
      <c r="T139" s="49"/>
      <c r="U139" s="45" t="s">
        <v>14</v>
      </c>
      <c r="V139" s="49">
        <f>+V131/V138</f>
        <v>0.78000966769561997</v>
      </c>
      <c r="W139" s="49" t="s">
        <v>14</v>
      </c>
      <c r="X139" s="49">
        <f>+X131/X138</f>
        <v>0.78000966769561997</v>
      </c>
    </row>
    <row r="140" spans="1:24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4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4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4" x14ac:dyDescent="0.25">
      <c r="A143" s="68" t="s">
        <v>1</v>
      </c>
      <c r="B143" s="53">
        <f>+C20-C14-C15-P21/2</f>
        <v>50.295000000000002</v>
      </c>
      <c r="C143" s="48" t="s">
        <v>0</v>
      </c>
      <c r="D143" s="49"/>
      <c r="E143" s="49"/>
      <c r="F143" s="49"/>
      <c r="G143" s="49"/>
      <c r="H143" s="49"/>
      <c r="I143" s="50"/>
      <c r="L143" s="4" t="s">
        <v>83</v>
      </c>
      <c r="O143" s="4">
        <f>+B150/2*B100</f>
        <v>547.72255750516615</v>
      </c>
      <c r="P143" s="4" t="s">
        <v>5</v>
      </c>
    </row>
    <row r="144" spans="1:24" x14ac:dyDescent="0.25">
      <c r="A144" s="68" t="s">
        <v>64</v>
      </c>
      <c r="B144" s="58">
        <f>+C17*12/2-C42/2+C11</f>
        <v>6.5</v>
      </c>
      <c r="C144" s="48" t="s">
        <v>0</v>
      </c>
      <c r="D144" s="80"/>
      <c r="E144" s="49"/>
      <c r="F144" s="49"/>
      <c r="G144" s="49"/>
      <c r="H144" s="49"/>
      <c r="I144" s="50"/>
      <c r="L144" s="45" t="s">
        <v>64</v>
      </c>
      <c r="M144" s="80">
        <f>+C17*12/2-C42/2+C11+C17*12/2</f>
        <v>24.5</v>
      </c>
      <c r="N144" s="49" t="s">
        <v>0</v>
      </c>
    </row>
    <row r="145" spans="1:16" x14ac:dyDescent="0.25">
      <c r="A145" s="68" t="s">
        <v>65</v>
      </c>
      <c r="B145" s="58">
        <f>MAX(B144/B143,0)</f>
        <v>0.12923749875733173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  <c r="L145" s="45" t="s">
        <v>65</v>
      </c>
      <c r="M145" s="80">
        <f>MAX(M144/B143,0)</f>
        <v>0.48712595685455812</v>
      </c>
      <c r="N145" s="49"/>
    </row>
    <row r="146" spans="1:16" ht="18" x14ac:dyDescent="0.35">
      <c r="A146" s="68" t="s">
        <v>58</v>
      </c>
      <c r="B146" s="79">
        <f>9*1.6*C13-1.6*0.15*C21*C22*C20/12*((C21/2-C42/2/12)/C21)+1.6*U26*U27*C20/12*0.15</f>
        <v>1355.9470044186553</v>
      </c>
      <c r="C146" s="48" t="s">
        <v>18</v>
      </c>
      <c r="D146" s="80"/>
      <c r="E146" s="49"/>
      <c r="F146" s="80"/>
      <c r="G146" s="49"/>
      <c r="H146" s="49"/>
      <c r="I146" s="50"/>
      <c r="L146" s="45" t="s">
        <v>58</v>
      </c>
      <c r="M146" s="49">
        <f>7*1.6*C13-1.6*0.15*C21*C22*C20/12*((C21/2-C42/2/12)/C21)+1.6*U26*U27*C20/12*0.15</f>
        <v>1035.9470044186553</v>
      </c>
      <c r="N146" s="49" t="s">
        <v>8</v>
      </c>
    </row>
    <row r="147" spans="1:16" ht="18" x14ac:dyDescent="0.35">
      <c r="A147" s="68" t="s">
        <v>26</v>
      </c>
      <c r="B147" s="79">
        <f>1.6*C13*(2*B144)+1.6*C13*(3*(B144+0.5*C17*12))+1.6*C13*(4*(B144+(0.5+0.866)*C17*12))-1.6*0.15*C21*C22*C20/12*((C21/2-C42/2/12)/C21)*(C21/2-C42/2/12)*12/2+1.6*U26*U27*C20/12*0.15*(C21*12/2-U26*12/3)</f>
        <v>46866.922637542055</v>
      </c>
      <c r="C147" s="48" t="s">
        <v>27</v>
      </c>
      <c r="D147" s="80"/>
      <c r="E147" s="49"/>
      <c r="F147" s="80"/>
      <c r="G147" s="49"/>
      <c r="H147" s="49"/>
      <c r="I147" s="50"/>
      <c r="L147" s="45" t="s">
        <v>26</v>
      </c>
      <c r="M147" s="49">
        <f>1.6*C13*(3*(M144))+1.6*C13*(4*(M144+0.866*C17*12))-1.6*0.15*C21*C22*C20/12*((C21/2-C42/2/12)/C21)*(C21/2-C42/2/12)*12/2+1.6*U26*U27*C20/12*0.15*(C21*12/2-U26*12/3)</f>
        <v>44786.922637542048</v>
      </c>
      <c r="N147" s="49" t="s">
        <v>27</v>
      </c>
    </row>
    <row r="148" spans="1:16" ht="18" x14ac:dyDescent="0.35">
      <c r="A148" s="68" t="s">
        <v>66</v>
      </c>
      <c r="B148" s="58">
        <f>+B146*B143/B147</f>
        <v>1.45512764118649</v>
      </c>
      <c r="C148" s="48"/>
      <c r="D148" s="80"/>
      <c r="E148" s="80"/>
      <c r="F148" s="80"/>
      <c r="G148" s="49"/>
      <c r="H148" s="49"/>
      <c r="I148" s="50"/>
      <c r="L148" s="45" t="s">
        <v>66</v>
      </c>
      <c r="M148" s="80">
        <f>+M146*B143/M147</f>
        <v>1.1633519679148854</v>
      </c>
      <c r="N148" s="80"/>
    </row>
    <row r="149" spans="1:16" ht="18" x14ac:dyDescent="0.35">
      <c r="A149" s="68" t="s">
        <v>447</v>
      </c>
      <c r="B149" s="58">
        <f>1/B148</f>
        <v>0.68722493594074985</v>
      </c>
      <c r="C149" s="48"/>
      <c r="D149" s="80"/>
      <c r="E149" s="80"/>
      <c r="F149" s="80"/>
      <c r="G149" s="49"/>
      <c r="H149" s="49"/>
      <c r="I149" s="50"/>
      <c r="L149" s="45" t="s">
        <v>67</v>
      </c>
      <c r="M149" s="80">
        <f>1/M148</f>
        <v>0.85958508480656415</v>
      </c>
      <c r="N149" s="8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  <c r="L150" s="45" t="s">
        <v>6</v>
      </c>
      <c r="M150" s="80">
        <f>+MIN(1/M145*(3.5-2.5*M149)*(1.9+0.1*M148),10)</f>
        <v>5.5922785423491241</v>
      </c>
      <c r="N150" s="80"/>
    </row>
    <row r="151" spans="1:16" ht="18" x14ac:dyDescent="0.35">
      <c r="A151" s="68" t="s">
        <v>12</v>
      </c>
      <c r="B151" s="79">
        <f>0.85*B150*(C9*1000)^0.5/1000*C22*12*B143</f>
        <v>3848.3924941873856</v>
      </c>
      <c r="C151" s="48" t="s">
        <v>18</v>
      </c>
      <c r="D151" s="49"/>
      <c r="E151" s="49"/>
      <c r="F151" s="49"/>
      <c r="G151" s="49"/>
      <c r="H151" s="49"/>
      <c r="I151" s="50"/>
      <c r="L151" s="45" t="s">
        <v>12</v>
      </c>
      <c r="M151" s="49">
        <f>0.85*M150*(C9*1000)^0.5/1000*C22*12*B143</f>
        <v>2152.128276778154</v>
      </c>
      <c r="N151" s="49" t="s">
        <v>8</v>
      </c>
    </row>
    <row r="152" spans="1:16" ht="18" x14ac:dyDescent="0.35">
      <c r="A152" s="68" t="s">
        <v>14</v>
      </c>
      <c r="B152" s="74">
        <f>+B146/B151</f>
        <v>0.35234114151991475</v>
      </c>
      <c r="C152" s="48"/>
      <c r="D152" s="110" t="s">
        <v>282</v>
      </c>
      <c r="F152" s="4" t="s">
        <v>14</v>
      </c>
      <c r="G152" s="88">
        <f>+IF(B144&gt;0,B152,M152)</f>
        <v>0.35234114151991475</v>
      </c>
      <c r="H152" s="49"/>
      <c r="I152" s="50"/>
      <c r="L152" s="45" t="s">
        <v>14</v>
      </c>
      <c r="M152" s="49">
        <f>+M146/M151</f>
        <v>0.48135932025832628</v>
      </c>
      <c r="N152" s="49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48.885000000000005</v>
      </c>
      <c r="C156" s="48" t="s">
        <v>0</v>
      </c>
      <c r="D156" s="49"/>
      <c r="E156" s="49"/>
      <c r="F156" s="49"/>
      <c r="G156" s="49"/>
      <c r="H156" s="49"/>
      <c r="I156" s="50"/>
      <c r="L156" s="4" t="s">
        <v>83</v>
      </c>
      <c r="O156" s="4">
        <f>+B163/2*B111</f>
        <v>547.72255750516615</v>
      </c>
      <c r="P156" s="4" t="s">
        <v>5</v>
      </c>
    </row>
    <row r="157" spans="1:16" x14ac:dyDescent="0.25">
      <c r="A157" s="68" t="s">
        <v>64</v>
      </c>
      <c r="B157" s="55">
        <f>+C17*12/2-C42/2+C11</f>
        <v>6.5</v>
      </c>
      <c r="C157" s="48" t="s">
        <v>0</v>
      </c>
      <c r="D157" s="80"/>
      <c r="E157" s="49"/>
      <c r="F157" s="49"/>
      <c r="G157" s="49"/>
      <c r="H157" s="49"/>
      <c r="I157" s="50"/>
      <c r="L157" s="45" t="s">
        <v>64</v>
      </c>
      <c r="M157" s="80">
        <f>+C17*12/2-C42/2+C11+C17*12/2</f>
        <v>24.5</v>
      </c>
      <c r="N157" s="49" t="s">
        <v>0</v>
      </c>
    </row>
    <row r="158" spans="1:16" x14ac:dyDescent="0.25">
      <c r="A158" s="68" t="s">
        <v>65</v>
      </c>
      <c r="B158" s="58">
        <f>MAX(B157/B156,0)</f>
        <v>0.13296512222563156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  <c r="L158" s="45" t="s">
        <v>65</v>
      </c>
      <c r="M158" s="80">
        <f>MAX(M157/B156,0)</f>
        <v>0.50117622992738053</v>
      </c>
      <c r="N158" s="49"/>
    </row>
    <row r="159" spans="1:16" ht="18" x14ac:dyDescent="0.35">
      <c r="A159" s="68" t="s">
        <v>58</v>
      </c>
      <c r="B159" s="79">
        <f>9*1.6*C13-1.6*0.15*C21*C22*C20/12*((C22/2-C42/2/12)/C22)+1.6*U26*U27*C20/12*0.15</f>
        <v>1355.9470044186553</v>
      </c>
      <c r="C159" s="48" t="s">
        <v>18</v>
      </c>
      <c r="D159" s="80"/>
      <c r="E159" s="49"/>
      <c r="F159" s="80"/>
      <c r="G159" s="49"/>
      <c r="H159" s="49"/>
      <c r="I159" s="50"/>
      <c r="L159" s="45" t="s">
        <v>58</v>
      </c>
      <c r="M159" s="49">
        <f>7*1.6*C13-1.6*0.15*C21*C22*C20/12*((C22/2-C42/2/12)/C22)</f>
        <v>1027.3109503999999</v>
      </c>
      <c r="N159" s="49" t="s">
        <v>8</v>
      </c>
    </row>
    <row r="160" spans="1:16" ht="18" x14ac:dyDescent="0.35">
      <c r="A160" s="68" t="s">
        <v>26</v>
      </c>
      <c r="B160" s="79">
        <f>1.6*C13*(2*B157)+1.6*C13*(3*(B157+0.5*C17*12))+1.6*C13*(2*(B157+1*C17*12))+1.6*C13*(2*(B157+1.5*C17*12))-1.6*0.15*C21*C22*C20/12*((C22/2-C42/2/12)/C22)*(C22/2-C42/2/12)*12/2+1.6*U26*U27*C20/12*0.15*(C22*12/2-U27*12/3)</f>
        <v>44325.282550276133</v>
      </c>
      <c r="C160" s="48" t="s">
        <v>27</v>
      </c>
      <c r="D160" s="80"/>
      <c r="E160" s="49"/>
      <c r="F160" s="80"/>
      <c r="G160" s="49"/>
      <c r="H160" s="49"/>
      <c r="I160" s="50"/>
      <c r="L160" s="45" t="s">
        <v>26</v>
      </c>
      <c r="M160" s="49">
        <f>1.6*C13*(3*(M157))+1.6*C13*(2*(M157+C17*12*0.5))+1.6*C13*(2*(M157+C17*12*1))-1.6*0.15*C21*C22*C20/12*((C22/2-C42/2/12)/C22)*(C22/2-C42/2/12)*12/2</f>
        <v>41583.587939635203</v>
      </c>
      <c r="N160" s="49" t="s">
        <v>27</v>
      </c>
    </row>
    <row r="161" spans="1:32" ht="18" x14ac:dyDescent="0.35">
      <c r="A161" s="68" t="s">
        <v>66</v>
      </c>
      <c r="B161" s="58">
        <f>+B159*B156/B160</f>
        <v>1.4954325273803142</v>
      </c>
      <c r="C161" s="48"/>
      <c r="D161" s="80"/>
      <c r="E161" s="80"/>
      <c r="F161" s="80"/>
      <c r="G161" s="49"/>
      <c r="H161" s="49"/>
      <c r="I161" s="50"/>
      <c r="L161" s="45" t="s">
        <v>66</v>
      </c>
      <c r="M161" s="80">
        <f>+M159*B156/M160</f>
        <v>1.2076903003946169</v>
      </c>
      <c r="N161" s="80"/>
    </row>
    <row r="162" spans="1:32" ht="18" x14ac:dyDescent="0.35">
      <c r="A162" s="68" t="s">
        <v>447</v>
      </c>
      <c r="B162" s="58">
        <f>1/B161</f>
        <v>0.66870285465288859</v>
      </c>
      <c r="C162" s="48"/>
      <c r="D162" s="80"/>
      <c r="E162" s="80"/>
      <c r="F162" s="80"/>
      <c r="G162" s="49"/>
      <c r="H162" s="49"/>
      <c r="I162" s="50"/>
      <c r="L162" s="45" t="s">
        <v>67</v>
      </c>
      <c r="M162" s="80">
        <f>1/M161</f>
        <v>0.82802685396516529</v>
      </c>
      <c r="N162" s="8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  <c r="L163" s="45" t="s">
        <v>6</v>
      </c>
      <c r="M163" s="80">
        <f>+MIN(1/M158*(3.5-2.5*M162)*(1.9+0.1*M161),10)</f>
        <v>5.7655648377862478</v>
      </c>
      <c r="N163" s="80"/>
    </row>
    <row r="164" spans="1:32" ht="18" x14ac:dyDescent="0.35">
      <c r="A164" s="68" t="s">
        <v>12</v>
      </c>
      <c r="B164" s="79">
        <f>0.85*B163*(C9*1000)^0.5/1000*C21*12*B156</f>
        <v>3740.5043658087357</v>
      </c>
      <c r="C164" s="48" t="s">
        <v>18</v>
      </c>
      <c r="D164" s="49"/>
      <c r="E164" s="49"/>
      <c r="F164" s="49"/>
      <c r="G164" s="49"/>
      <c r="H164" s="49"/>
      <c r="I164" s="50"/>
      <c r="L164" s="45" t="s">
        <v>12</v>
      </c>
      <c r="M164" s="49">
        <f>0.85*M163*(C9*1000)^0.5/1000*C21*12*B156</f>
        <v>2156.6120447092794</v>
      </c>
      <c r="N164" s="49" t="s">
        <v>8</v>
      </c>
    </row>
    <row r="165" spans="1:32" ht="18" x14ac:dyDescent="0.35">
      <c r="A165" s="68" t="s">
        <v>14</v>
      </c>
      <c r="B165" s="74">
        <f>+B159/B164</f>
        <v>0.36250378874387051</v>
      </c>
      <c r="C165" s="49"/>
      <c r="D165" s="110" t="s">
        <v>282</v>
      </c>
      <c r="F165" s="4" t="s">
        <v>14</v>
      </c>
      <c r="G165" s="88">
        <f>+IF(B157&gt;0,B165,M165)</f>
        <v>0.36250378874387051</v>
      </c>
      <c r="H165" s="49"/>
      <c r="I165" s="50"/>
      <c r="L165" s="45" t="s">
        <v>14</v>
      </c>
      <c r="M165" s="49">
        <f>+M159/M164</f>
        <v>0.4763540818202589</v>
      </c>
      <c r="N165" s="49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50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+C22*C21*C20/12/27-2*U26*U27*C20/12/27</f>
        <v>32.071665302884121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58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9110.35</v>
      </c>
      <c r="U171" s="4" t="s">
        <v>35</v>
      </c>
    </row>
    <row r="172" spans="1:32" ht="18.75" x14ac:dyDescent="0.35">
      <c r="A172" s="45"/>
      <c r="B172" s="53">
        <f>+C65</f>
        <v>17</v>
      </c>
      <c r="C172" s="48" t="s">
        <v>71</v>
      </c>
      <c r="D172" s="83" t="str">
        <f>"#"&amp;+C23</f>
        <v>#11</v>
      </c>
      <c r="E172" s="49" t="s">
        <v>72</v>
      </c>
      <c r="F172" s="49" t="s">
        <v>73</v>
      </c>
      <c r="G172" s="57">
        <f>+C22-0.5</f>
        <v>13.196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15.145776049584628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1.7281312499999999</v>
      </c>
      <c r="H173" s="48" t="s">
        <v>74</v>
      </c>
      <c r="I173" s="50"/>
      <c r="Q173" s="4" t="s">
        <v>7</v>
      </c>
      <c r="R173" s="4">
        <f>+R172*T171/1000</f>
        <v>1995.9776807068761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1191.9008080890312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1696.5810286008445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137.98332083333332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17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13.196</v>
      </c>
      <c r="H176" s="48" t="s">
        <v>74</v>
      </c>
      <c r="I176" s="50"/>
      <c r="Q176" s="4" t="s">
        <v>14</v>
      </c>
      <c r="R176" s="4">
        <f>+R175/R174</f>
        <v>8.1330227385088091E-2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1191.9008080890312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50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2383.8016161780624</v>
      </c>
      <c r="D180" s="48" t="s">
        <v>78</v>
      </c>
      <c r="E180" s="49" t="s">
        <v>79</v>
      </c>
      <c r="F180" s="88">
        <f>+C180/2000</f>
        <v>1.1919008080890312</v>
      </c>
      <c r="G180" s="48" t="s">
        <v>19</v>
      </c>
      <c r="H180" s="49"/>
      <c r="I180" s="50"/>
      <c r="Q180" s="4" t="s">
        <v>54</v>
      </c>
      <c r="T180" s="4">
        <f>+T179/2</f>
        <v>25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182.20700000000002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12710.35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22.07518446253119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2784.6981635143156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2366.9934389871682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280.58332083333335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0.11853996560015578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50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25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75.551749999999998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3777.5875000000001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38.482452149244274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827.62795467981869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703.48376147784586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145.37083020833333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0.20664418735543386</v>
      </c>
      <c r="T199" s="4" t="s">
        <v>146</v>
      </c>
      <c r="V199" s="4">
        <f>+(C18*C18+C18*T170+3.1415*T170^2/4/4)/144</f>
        <v>12.190974826388889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50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76.425999999999988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3821.2999999999993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38.68621201832714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418.60244179889821</v>
      </c>
      <c r="S207" s="4" t="s">
        <v>8</v>
      </c>
      <c r="T207" s="4" t="s">
        <v>93</v>
      </c>
    </row>
    <row r="208" spans="1:58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355.81207552906346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147.83162198563349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0.41547668601696541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3" man="1"/>
    <brk id="84" max="33" man="1"/>
    <brk id="125" max="33" man="1"/>
    <brk id="166" max="33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280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80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160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10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21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21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21" ht="18" x14ac:dyDescent="0.35">
      <c r="A19" s="45"/>
      <c r="B19" s="46" t="s">
        <v>424</v>
      </c>
      <c r="C19" s="54">
        <f>17+30/200*C12</f>
        <v>29</v>
      </c>
      <c r="D19" s="48" t="s">
        <v>0</v>
      </c>
      <c r="E19" s="46" t="s">
        <v>260</v>
      </c>
      <c r="F19" s="57">
        <f>+C21-2*U26</f>
        <v>11.020785219399539</v>
      </c>
      <c r="G19" s="48" t="s">
        <v>422</v>
      </c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20.737575</v>
      </c>
    </row>
    <row r="20" spans="1:21" ht="18" x14ac:dyDescent="0.35">
      <c r="A20" s="45"/>
      <c r="B20" s="46" t="s">
        <v>425</v>
      </c>
      <c r="C20" s="56">
        <v>62</v>
      </c>
      <c r="D20" s="48" t="s">
        <v>0</v>
      </c>
      <c r="E20" s="46" t="s">
        <v>261</v>
      </c>
      <c r="F20" s="74">
        <f>2*S27</f>
        <v>6.1339999999999995</v>
      </c>
      <c r="G20" s="48" t="s">
        <v>422</v>
      </c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21" x14ac:dyDescent="0.25">
      <c r="A21" s="45"/>
      <c r="B21" s="46" t="s">
        <v>426</v>
      </c>
      <c r="C21" s="53">
        <f>2*C18/12+4*C17</f>
        <v>15.5</v>
      </c>
      <c r="D21" s="48" t="s">
        <v>422</v>
      </c>
      <c r="I21" s="50"/>
      <c r="J21" s="4" t="s">
        <v>34</v>
      </c>
      <c r="L21" s="4">
        <f>+IF(C23&lt;9,(C23/8),IF(C23=9,1.128,IF(C23=10,1.27,IF(C23=11,1.41,IF(C23=14,1.693,0)))))</f>
        <v>1.41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21" ht="17.25" x14ac:dyDescent="0.25">
      <c r="A22" s="45"/>
      <c r="B22" s="46" t="s">
        <v>427</v>
      </c>
      <c r="C22" s="54">
        <f>2*C18/12+4*C17*0.866</f>
        <v>13.891999999999999</v>
      </c>
      <c r="D22" s="48" t="s">
        <v>422</v>
      </c>
      <c r="I22" s="50"/>
      <c r="J22" s="4" t="s">
        <v>36</v>
      </c>
      <c r="L22" s="4">
        <f>3.1415*L21^2/4</f>
        <v>1.5614040375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21" x14ac:dyDescent="0.25">
      <c r="A23" s="45"/>
      <c r="B23" s="46" t="s">
        <v>428</v>
      </c>
      <c r="C23" s="47">
        <v>11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21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21" ht="18" x14ac:dyDescent="0.35">
      <c r="A25" s="45"/>
      <c r="B25" s="46" t="s">
        <v>430</v>
      </c>
      <c r="C25" s="57">
        <f>+C20-C14-C15-P21-0.5*L21</f>
        <v>50.885000000000005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21" ht="18" x14ac:dyDescent="0.35">
      <c r="A26" s="45"/>
      <c r="B26" s="46" t="s">
        <v>431</v>
      </c>
      <c r="C26" s="58">
        <f>+C20-C14-C15-P21/2</f>
        <v>52.295000000000002</v>
      </c>
      <c r="D26" s="48" t="s">
        <v>0</v>
      </c>
      <c r="E26" s="49"/>
      <c r="F26" s="49"/>
      <c r="G26" s="49"/>
      <c r="H26" s="49"/>
      <c r="I26" s="50"/>
      <c r="O26" s="93"/>
      <c r="P26" s="93" t="s">
        <v>258</v>
      </c>
      <c r="Q26" s="93">
        <f>+C21/2</f>
        <v>7.75</v>
      </c>
      <c r="R26" s="93" t="s">
        <v>262</v>
      </c>
      <c r="S26" s="93">
        <f>+Q26</f>
        <v>7.75</v>
      </c>
      <c r="T26" s="93" t="s">
        <v>265</v>
      </c>
      <c r="U26" s="93">
        <f>+U27/0.866*0.5</f>
        <v>2.2396073903002311</v>
      </c>
    </row>
    <row r="27" spans="1:21" ht="18" x14ac:dyDescent="0.35">
      <c r="A27" s="45"/>
      <c r="B27" s="46" t="s">
        <v>432</v>
      </c>
      <c r="C27" s="54">
        <f>+C20-C14-C15-1</f>
        <v>52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11.283958068551208</v>
      </c>
      <c r="O27" s="93"/>
      <c r="P27" s="93" t="s">
        <v>259</v>
      </c>
      <c r="Q27" s="93">
        <f>0.866*C17-1.732*C18/12</f>
        <v>-0.43300000000000027</v>
      </c>
      <c r="R27" s="93" t="s">
        <v>263</v>
      </c>
      <c r="S27" s="93">
        <f>+Q27+2*C18/12</f>
        <v>3.0669999999999997</v>
      </c>
      <c r="T27" s="93" t="s">
        <v>264</v>
      </c>
      <c r="U27" s="93">
        <f>+(C22-F20)/2</f>
        <v>3.879</v>
      </c>
    </row>
    <row r="28" spans="1:21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  <c r="O28" s="93"/>
      <c r="P28" s="93"/>
      <c r="Q28" s="93"/>
      <c r="R28" s="93"/>
      <c r="S28" s="93"/>
      <c r="T28" s="93"/>
      <c r="U28" s="93"/>
    </row>
    <row r="29" spans="1:21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M29" s="4">
        <f>+IF(C8="Round",C16,L27)</f>
        <v>10</v>
      </c>
    </row>
    <row r="30" spans="1:21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21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21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52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26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62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10128.196000000002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">
        <v>229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22.709198643184934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2218.9765664134379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1886.1300814514223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230.0032148611111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1.6*22*C13-1.6*C21*C22*C20/12*0.15+1.6*2*U26*U27*C20/12*0.15</f>
        <v>5386.540603926097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0.12194451333076567</v>
      </c>
    </row>
    <row r="41" spans="1:25" x14ac:dyDescent="0.25">
      <c r="A41" s="45"/>
      <c r="B41" s="46" t="s">
        <v>433</v>
      </c>
      <c r="C41" s="58">
        <f>+(C40/4)^0.5</f>
        <v>36.69652777827249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37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1.6*C13*(5*(0.866*C17*12+C11-C42/4))+1.6*C13*(4*(2*0.866*C17*12+C11-C42/4))-1.6*(C22/2-C42/12/4)*C21*C20/12*0.15*(C22/2-C42/12/4)*12/2+1.6*U26*U27*C20/12*0.15*(C22*12/2-U27*12/3)</f>
        <v>85687.024971082021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5528.1951594246466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50.885000000000005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2.1032735579287376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32.600740147895436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43.467653530527251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25.919901974944853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31.548700000000004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31.548700000000004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20.7576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32.600740147895436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1.1157500719838755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0.94529123571039742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10.505294117647059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34.384286356313225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3.7050000000000001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34.384286356313225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3.7050000000000001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3.7050000000000001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46.337328364937051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61.852000000000004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22.021389422923935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18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46.337328364937051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61.852000000000004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1.6*C13*(3*(0.5*C17*12+C11-C42/4))+1.6*C13*(2*(1*C17*12+C11-C42/4))+1.6*C13*(3*(1.5*C17*12+C11-C42/4))+1.6*C13*(2*(2*C17*12+C11-C42/4))-1.6*(C21/2-C42/12/4)*C22*C20/12*0.15*(C21/2-C42/12/4)*12/2+1.6*U26*U27*C20/12*0.15*(C21*12/2-U26*12/3)</f>
        <v>90462.964519620669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6511.8747854607454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52.295000000000002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2.4224605358239693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9.9558750000000007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33.65282176366658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44.870429018222104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3.7050000000000001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23.874639342157568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29.059285600000003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29.059285600000003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18.604166399999997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33.65282176366658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3.7050000000000001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46.337328364937051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46.337328364937051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71.5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71.5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21.55292349413217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17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52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44.5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26</v>
      </c>
      <c r="C87" s="48" t="s">
        <v>0</v>
      </c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+C17*12*0.866+C11</f>
        <v>34.176000000000002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+IF(M86&gt;O92,0,IF(M86&gt;O88,4,IF(M86&gt;O91,10,IF(M86&gt;O90,14,IF(M86&gt;O87,18,IF(M86&gt;O89,20,22))))))</f>
        <v>14</v>
      </c>
      <c r="G88" s="49"/>
      <c r="H88" s="49"/>
      <c r="I88" s="50"/>
      <c r="J88" s="4" t="s">
        <v>251</v>
      </c>
      <c r="K88" s="64"/>
      <c r="L88" s="64"/>
      <c r="M88" s="64"/>
      <c r="N88" s="64"/>
      <c r="O88" s="64">
        <f>+(2*0.866)*C17*12+C11</f>
        <v>65.352000000000004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241</v>
      </c>
      <c r="K89" s="64"/>
      <c r="L89" s="64"/>
      <c r="M89" s="64"/>
      <c r="N89" s="64"/>
      <c r="O89" s="64">
        <f>+C17*12*0.5+C11</f>
        <v>21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356</v>
      </c>
      <c r="C90" s="48" t="s">
        <v>0</v>
      </c>
      <c r="D90" s="49"/>
      <c r="E90" s="49"/>
      <c r="F90" s="49"/>
      <c r="G90" s="49"/>
      <c r="H90" s="49"/>
      <c r="I90" s="50"/>
      <c r="J90" s="4" t="s">
        <v>242</v>
      </c>
      <c r="K90" s="64"/>
      <c r="L90" s="64"/>
      <c r="M90" s="64"/>
      <c r="N90" s="64"/>
      <c r="O90" s="64">
        <f>+C17*12*1+C11</f>
        <v>39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4055.775993814254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243</v>
      </c>
      <c r="K91" s="64"/>
      <c r="L91" s="64"/>
      <c r="M91" s="64"/>
      <c r="N91" s="64"/>
      <c r="O91" s="64">
        <f>+C17*12*1.5+C11</f>
        <v>57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3447.4095947421156</v>
      </c>
      <c r="C92" s="48" t="s">
        <v>18</v>
      </c>
      <c r="D92" s="49"/>
      <c r="E92" s="49"/>
      <c r="F92" s="49"/>
      <c r="G92" s="49"/>
      <c r="H92" s="49"/>
      <c r="I92" s="50"/>
      <c r="J92" s="4" t="s">
        <v>281</v>
      </c>
      <c r="K92" s="64"/>
      <c r="L92" s="64"/>
      <c r="M92" s="64"/>
      <c r="N92" s="64"/>
      <c r="O92" s="64">
        <f>+C17*12*2+C11</f>
        <v>75</v>
      </c>
      <c r="P92" s="4" t="s">
        <v>0</v>
      </c>
      <c r="Q92" s="4" t="s">
        <v>120</v>
      </c>
    </row>
    <row r="93" spans="1:17" ht="18" x14ac:dyDescent="0.35">
      <c r="A93" s="68" t="s">
        <v>58</v>
      </c>
      <c r="B93" s="79">
        <f>+E88*1.6*C13-1.6*0.15*C21*C22*C20/12+1.6*0.15*(2*M86)/12*(2*M86)/12*C20/12+1.6*2*U26*U27*C20/12*0.15</f>
        <v>3406.7492150372091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0.98820552690724062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  <c r="L95" s="4" t="s">
        <v>83</v>
      </c>
      <c r="O95" s="4">
        <f>+B89</f>
        <v>219.08902300206645</v>
      </c>
      <c r="P95" s="4" t="s">
        <v>5</v>
      </c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52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70.5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+IF(M98&gt;O102,0,IF(M98&gt;O101,2,IF(M98&gt;O100,5,IF(M98&gt;O99,7,10))))</f>
        <v>2</v>
      </c>
      <c r="G99" s="49"/>
      <c r="H99" s="49"/>
      <c r="I99" s="50"/>
      <c r="J99" s="4" t="s">
        <v>241</v>
      </c>
      <c r="K99" s="64"/>
      <c r="L99" s="64"/>
      <c r="M99" s="64"/>
      <c r="N99" s="64"/>
      <c r="O99" s="64">
        <f>+C17*12*0.5+C11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242</v>
      </c>
      <c r="K100" s="64"/>
      <c r="L100" s="64"/>
      <c r="M100" s="64"/>
      <c r="N100" s="64"/>
      <c r="O100" s="64">
        <f>+C17*12*1+C11</f>
        <v>39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+M105*12*B98</f>
        <v>7880.4960000000001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243</v>
      </c>
      <c r="K101" s="64"/>
      <c r="L101" s="64"/>
      <c r="M101" s="64"/>
      <c r="N101" s="64"/>
      <c r="O101" s="64">
        <f>+C17*12*1.5+C11</f>
        <v>57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863.26508470584633</v>
      </c>
      <c r="C102" s="48" t="s">
        <v>18</v>
      </c>
      <c r="D102" s="49" t="s">
        <v>63</v>
      </c>
      <c r="E102" s="49"/>
      <c r="F102" s="49"/>
      <c r="G102" s="49"/>
      <c r="H102" s="49"/>
      <c r="I102" s="50"/>
      <c r="J102" s="4" t="s">
        <v>281</v>
      </c>
      <c r="K102" s="64"/>
      <c r="L102" s="64"/>
      <c r="M102" s="64"/>
      <c r="N102" s="64"/>
      <c r="O102" s="64">
        <f>+C17*12*2+C11</f>
        <v>75</v>
      </c>
      <c r="P102" s="4" t="s">
        <v>0</v>
      </c>
      <c r="Q102" s="4" t="s">
        <v>120</v>
      </c>
    </row>
    <row r="103" spans="1:17" ht="18" x14ac:dyDescent="0.35">
      <c r="A103" s="68" t="s">
        <v>12</v>
      </c>
      <c r="B103" s="79">
        <f>+B102*0.85</f>
        <v>733.77532199996938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+E99*C13*1.6-1.6*0.15*C21*C22*C20/12*((C21/2-M98/12)/C21)+1.6*U26*U27*C20/12*0.15</f>
        <v>490.47352196304848</v>
      </c>
      <c r="C104" s="48" t="s">
        <v>18</v>
      </c>
      <c r="D104" s="49" t="s">
        <v>132</v>
      </c>
      <c r="E104" s="49"/>
      <c r="F104" s="49"/>
      <c r="G104" s="49"/>
      <c r="H104" s="49"/>
      <c r="I104" s="50"/>
      <c r="L104" s="4" t="s">
        <v>270</v>
      </c>
      <c r="M104" s="4">
        <f>+C22</f>
        <v>13.891999999999999</v>
      </c>
    </row>
    <row r="105" spans="1:17" ht="18" x14ac:dyDescent="0.35">
      <c r="A105" s="68" t="s">
        <v>14</v>
      </c>
      <c r="B105" s="74">
        <f>+B104/B103</f>
        <v>0.66842466250598298</v>
      </c>
      <c r="C105" s="49"/>
      <c r="D105" s="49"/>
      <c r="E105" s="49"/>
      <c r="F105" s="49"/>
      <c r="G105" s="49"/>
      <c r="H105" s="49"/>
      <c r="I105" s="50"/>
      <c r="L105" s="4" t="s">
        <v>269</v>
      </c>
      <c r="M105" s="4">
        <f>+IF(M98/12&lt;F19/2,C22,C22-2*(M98/12-F19/2)/0.5*0.866)</f>
        <v>12.629</v>
      </c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52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70.5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+IF(M109&gt;O111,0,IF(M109&gt;O110,4,9))</f>
        <v>0</v>
      </c>
      <c r="G110" s="49"/>
      <c r="H110" s="49"/>
      <c r="I110" s="50"/>
      <c r="J110" s="4" t="s">
        <v>252</v>
      </c>
      <c r="K110" s="64"/>
      <c r="L110" s="64"/>
      <c r="M110" s="64"/>
      <c r="N110" s="64"/>
      <c r="O110" s="64">
        <f>+C17*12*0.866+C11</f>
        <v>34.176000000000002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253</v>
      </c>
      <c r="K111" s="64"/>
      <c r="L111" s="64"/>
      <c r="M111" s="64"/>
      <c r="N111" s="64"/>
      <c r="O111" s="64">
        <f>+(2*0.866)*C17*12+C11</f>
        <v>65.352000000000004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+M116*12*B109</f>
        <v>7648.6836027713625</v>
      </c>
      <c r="C112" s="48" t="s">
        <v>436</v>
      </c>
      <c r="D112" s="49"/>
      <c r="E112" s="49"/>
      <c r="F112" s="49"/>
      <c r="G112" s="49"/>
      <c r="H112" s="49"/>
      <c r="I112" s="50"/>
      <c r="K112" s="64"/>
      <c r="L112" s="64"/>
      <c r="M112" s="64"/>
      <c r="N112" s="64"/>
      <c r="O112" s="64"/>
    </row>
    <row r="113" spans="1:23" ht="18.75" x14ac:dyDescent="0.35">
      <c r="A113" s="68" t="s">
        <v>7</v>
      </c>
      <c r="B113" s="79">
        <f>+B111*B112/1000</f>
        <v>837.87130889155185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712.19061255781901</v>
      </c>
      <c r="C114" s="48" t="s">
        <v>18</v>
      </c>
      <c r="D114" s="49"/>
      <c r="E114" s="49"/>
      <c r="F114" s="49"/>
      <c r="G114" s="49"/>
      <c r="H114" s="49"/>
      <c r="I114" s="50"/>
      <c r="L114" s="4" t="s">
        <v>83</v>
      </c>
      <c r="O114" s="4">
        <f>+B111</f>
        <v>109.54451150103323</v>
      </c>
      <c r="P114" s="4" t="s">
        <v>5</v>
      </c>
    </row>
    <row r="115" spans="1:23" ht="18" x14ac:dyDescent="0.35">
      <c r="A115" s="68" t="s">
        <v>58</v>
      </c>
      <c r="B115" s="79">
        <f>+E110*C13*1.6-1.6*0.15*C21*C22*C20/12*((C22/2-M109/12)/C22)+1.6*U26*U27*C20/12*0.15</f>
        <v>-9.8121980369514947</v>
      </c>
      <c r="C115" s="48" t="s">
        <v>18</v>
      </c>
      <c r="D115" s="49" t="s">
        <v>132</v>
      </c>
      <c r="E115" s="49"/>
      <c r="F115" s="49"/>
      <c r="G115" s="49"/>
      <c r="H115" s="49"/>
      <c r="I115" s="50"/>
      <c r="L115" s="4" t="s">
        <v>270</v>
      </c>
      <c r="M115" s="4">
        <f>+C21</f>
        <v>15.5</v>
      </c>
    </row>
    <row r="116" spans="1:23" ht="18" x14ac:dyDescent="0.35">
      <c r="A116" s="68" t="s">
        <v>14</v>
      </c>
      <c r="B116" s="74">
        <f>+B115/B114</f>
        <v>-1.3777488587937396E-2</v>
      </c>
      <c r="C116" s="48"/>
      <c r="D116" s="49"/>
      <c r="E116" s="49"/>
      <c r="F116" s="49"/>
      <c r="G116" s="49"/>
      <c r="H116" s="49"/>
      <c r="I116" s="50"/>
      <c r="L116" s="4" t="s">
        <v>269</v>
      </c>
      <c r="M116" s="4">
        <f>+IF(M109/12&lt;F20/2,C21,C21-2*(M109/12-F20/2)/0.866*0.5)</f>
        <v>12.257505773672055</v>
      </c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9.0879999999999992</v>
      </c>
      <c r="W126" s="4" t="s">
        <v>0</v>
      </c>
    </row>
    <row r="127" spans="1:23" ht="18" x14ac:dyDescent="0.35">
      <c r="A127" s="68" t="s">
        <v>1</v>
      </c>
      <c r="B127" s="53">
        <f>+B86</f>
        <v>52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5376.7843711111109</v>
      </c>
      <c r="W127" s="49" t="s">
        <v>8</v>
      </c>
    </row>
    <row r="128" spans="1:23" ht="18.75" x14ac:dyDescent="0.35">
      <c r="A128" s="68" t="s">
        <v>54</v>
      </c>
      <c r="B128" s="54">
        <f>+B127/2</f>
        <v>26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4" ht="18.75" x14ac:dyDescent="0.35">
      <c r="A129" s="68"/>
      <c r="B129" s="49"/>
      <c r="C129" s="48"/>
      <c r="D129" s="46" t="s">
        <v>453</v>
      </c>
      <c r="E129" s="83">
        <v>22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4" ht="18" x14ac:dyDescent="0.35">
      <c r="A130" s="68" t="s">
        <v>16</v>
      </c>
      <c r="B130" s="57">
        <f>+C17*12/2-C42/2+C11</f>
        <v>2.5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K130" s="4">
        <v>1</v>
      </c>
      <c r="L130" s="49" t="s">
        <v>14</v>
      </c>
      <c r="M130" s="49">
        <f>+IF(B130&gt;0,B139,V139)</f>
        <v>0.47083070335669597</v>
      </c>
      <c r="Q130" s="49" t="s">
        <v>16</v>
      </c>
      <c r="R130" s="4">
        <f>+C17*12*0.866-C42/2+C11</f>
        <v>15.675999999999998</v>
      </c>
      <c r="S130" s="4" t="s">
        <v>0</v>
      </c>
      <c r="U130" s="49" t="s">
        <v>11</v>
      </c>
      <c r="V130" s="49">
        <f>+B134</f>
        <v>356</v>
      </c>
      <c r="W130" s="49" t="s">
        <v>0</v>
      </c>
    </row>
    <row r="131" spans="1:24" ht="18" x14ac:dyDescent="0.35">
      <c r="A131" s="68" t="s">
        <v>13</v>
      </c>
      <c r="B131" s="79">
        <f>+C13*E129*1.6-1.6*0.15*C21*C22*C20/12+1.6*0.15*(C42)/12*(C42)/12*C20/12+1.6*2*U26*U27*C20/12*0.15</f>
        <v>5398.3292150372081</v>
      </c>
      <c r="C131" s="48" t="s">
        <v>18</v>
      </c>
      <c r="D131" s="49"/>
      <c r="E131" s="49"/>
      <c r="F131" s="49"/>
      <c r="G131" s="49"/>
      <c r="H131" s="49"/>
      <c r="I131" s="50"/>
      <c r="K131" s="4">
        <v>2</v>
      </c>
      <c r="L131" s="49" t="s">
        <v>14</v>
      </c>
      <c r="M131" s="49">
        <f>+IF(R130&gt;0,R139,X139)</f>
        <v>0.94412258570552765</v>
      </c>
      <c r="Q131" s="49" t="s">
        <v>13</v>
      </c>
      <c r="R131" s="49">
        <f>+C13*E129*1.6-1.6*0.15*C21*C22*C20/12+1.6*0.15*(C42)/12*(C42)/12*C20/12+1.6*2*U26*U27*C20/12*0.15</f>
        <v>5398.3292150372081</v>
      </c>
      <c r="S131" s="49" t="s">
        <v>8</v>
      </c>
      <c r="T131" s="49"/>
      <c r="U131" s="49" t="s">
        <v>2</v>
      </c>
      <c r="V131" s="49">
        <f>+B135</f>
        <v>148</v>
      </c>
      <c r="W131" s="49" t="s">
        <v>0</v>
      </c>
      <c r="X131" s="49"/>
    </row>
    <row r="132" spans="1:24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27.526646364674537</v>
      </c>
      <c r="W132" s="49"/>
      <c r="X132" s="49"/>
    </row>
    <row r="133" spans="1:24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11603.232376669301</v>
      </c>
      <c r="W133" s="49" t="s">
        <v>8</v>
      </c>
      <c r="X133" s="49"/>
    </row>
    <row r="134" spans="1:24" ht="18" x14ac:dyDescent="0.35">
      <c r="A134" s="68" t="s">
        <v>11</v>
      </c>
      <c r="B134" s="58">
        <f>4*(B127+C42)</f>
        <v>356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356</v>
      </c>
      <c r="S134" s="49" t="s">
        <v>0</v>
      </c>
      <c r="T134" s="49"/>
      <c r="U134" s="45" t="s">
        <v>12</v>
      </c>
      <c r="V134" s="49">
        <f>+V133*0.85</f>
        <v>9862.7475201689049</v>
      </c>
      <c r="W134" s="49" t="s">
        <v>8</v>
      </c>
      <c r="X134" s="49"/>
    </row>
    <row r="135" spans="1:24" ht="18" x14ac:dyDescent="0.35">
      <c r="A135" s="68" t="s">
        <v>2</v>
      </c>
      <c r="B135" s="58">
        <f>4*C42</f>
        <v>148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148</v>
      </c>
      <c r="S135" s="49" t="s">
        <v>0</v>
      </c>
      <c r="T135" s="49"/>
      <c r="U135" s="45" t="s">
        <v>14</v>
      </c>
      <c r="V135" s="49">
        <f>+V127/V134</f>
        <v>0.54516090573299303</v>
      </c>
      <c r="W135" s="49"/>
      <c r="X135" s="49"/>
    </row>
    <row r="136" spans="1:24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15.958290518127212</v>
      </c>
      <c r="S136" s="49"/>
      <c r="T136" s="49"/>
      <c r="U136" s="45"/>
      <c r="V136" s="49"/>
      <c r="W136" s="49"/>
      <c r="X136" s="49"/>
    </row>
    <row r="137" spans="1:24" ht="18.75" x14ac:dyDescent="0.35">
      <c r="A137" s="68" t="s">
        <v>7</v>
      </c>
      <c r="B137" s="79">
        <f>+B136*(C9*1000)^0.5*B135*B127/1000</f>
        <v>13488.872968191226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23.979145259063607</v>
      </c>
      <c r="Q137" s="49" t="s">
        <v>7</v>
      </c>
      <c r="R137" s="49">
        <f>+R136*(C9*1000)^0.5*R135*B127/1000</f>
        <v>6726.8547996408915</v>
      </c>
      <c r="S137" s="49" t="s">
        <v>8</v>
      </c>
      <c r="T137" s="49"/>
      <c r="U137" s="45"/>
      <c r="V137" s="49"/>
      <c r="W137" s="49"/>
      <c r="X137" s="49"/>
    </row>
    <row r="138" spans="1:24" ht="18" x14ac:dyDescent="0.35">
      <c r="A138" s="68" t="s">
        <v>12</v>
      </c>
      <c r="B138" s="79">
        <f>+B137*0.85</f>
        <v>11465.542022962542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10107.863883916059</v>
      </c>
      <c r="Q138" s="49" t="s">
        <v>12</v>
      </c>
      <c r="R138" s="49">
        <f>+R137*0.85</f>
        <v>5717.826579694758</v>
      </c>
      <c r="S138" s="49" t="s">
        <v>8</v>
      </c>
      <c r="T138" s="49"/>
      <c r="U138" s="45"/>
      <c r="V138" s="49"/>
      <c r="W138" s="49"/>
      <c r="X138" s="49"/>
    </row>
    <row r="139" spans="1:24" ht="18" x14ac:dyDescent="0.35">
      <c r="A139" s="68" t="s">
        <v>14</v>
      </c>
      <c r="B139" s="74">
        <f>+B131/B138</f>
        <v>0.47083070335669597</v>
      </c>
      <c r="C139" s="48"/>
      <c r="D139" s="110" t="s">
        <v>235</v>
      </c>
      <c r="F139" s="4" t="s">
        <v>14</v>
      </c>
      <c r="G139" s="88">
        <f>+(M130+M131)/2</f>
        <v>0.70747664453111181</v>
      </c>
      <c r="H139" s="49"/>
      <c r="I139" s="50"/>
      <c r="K139" s="4">
        <f>+R131/K138</f>
        <v>0.53407221120450521</v>
      </c>
      <c r="Q139" s="49" t="s">
        <v>14</v>
      </c>
      <c r="R139" s="49">
        <f>+R131/R138</f>
        <v>0.94412258570552765</v>
      </c>
      <c r="S139" s="49"/>
      <c r="T139" s="49"/>
      <c r="U139" s="45"/>
      <c r="V139" s="49"/>
      <c r="W139" s="49"/>
      <c r="X139" s="49"/>
    </row>
    <row r="140" spans="1:24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4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4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4" x14ac:dyDescent="0.25">
      <c r="A143" s="68" t="s">
        <v>1</v>
      </c>
      <c r="B143" s="53">
        <f>+C20-C14-C15-P21/2</f>
        <v>52.295000000000002</v>
      </c>
      <c r="C143" s="48" t="s">
        <v>0</v>
      </c>
      <c r="D143" s="49"/>
      <c r="E143" s="49"/>
      <c r="F143" s="49"/>
      <c r="G143" s="49"/>
      <c r="H143" s="49"/>
      <c r="I143" s="50"/>
      <c r="L143" s="4" t="s">
        <v>83</v>
      </c>
      <c r="O143" s="4">
        <f>+B150/2*B100</f>
        <v>547.72255750516615</v>
      </c>
      <c r="P143" s="4" t="s">
        <v>5</v>
      </c>
    </row>
    <row r="144" spans="1:24" x14ac:dyDescent="0.25">
      <c r="A144" s="68" t="s">
        <v>64</v>
      </c>
      <c r="B144" s="58">
        <f>+C17*12/2-C42/2+C11</f>
        <v>2.5</v>
      </c>
      <c r="C144" s="48" t="s">
        <v>0</v>
      </c>
      <c r="D144" s="80"/>
      <c r="E144" s="49"/>
      <c r="F144" s="49"/>
      <c r="G144" s="49"/>
      <c r="H144" s="49"/>
      <c r="I144" s="50"/>
      <c r="L144" s="45" t="s">
        <v>64</v>
      </c>
      <c r="M144" s="80">
        <f>+C17*12/2-C42/2+C11+C17*12/2</f>
        <v>20.5</v>
      </c>
      <c r="N144" s="49" t="s">
        <v>0</v>
      </c>
    </row>
    <row r="145" spans="1:16" x14ac:dyDescent="0.25">
      <c r="A145" s="68" t="s">
        <v>65</v>
      </c>
      <c r="B145" s="58">
        <f>MAX(B144/B143,0)</f>
        <v>4.7805717563820634E-2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  <c r="L145" s="45" t="s">
        <v>65</v>
      </c>
      <c r="M145" s="80">
        <f>MAX(M144/B143,0)</f>
        <v>0.39200688402332917</v>
      </c>
      <c r="N145" s="49"/>
    </row>
    <row r="146" spans="1:16" ht="18" x14ac:dyDescent="0.35">
      <c r="A146" s="68" t="s">
        <v>58</v>
      </c>
      <c r="B146" s="79">
        <f>10*1.6*C13-1.6*0.15*C21*C22*C20/12*((C21/2-C42/2/12)/C21)+1.6*U26*U27*C20/12*0.15</f>
        <v>2463.8271752963819</v>
      </c>
      <c r="C146" s="48" t="s">
        <v>18</v>
      </c>
      <c r="D146" s="80"/>
      <c r="E146" s="49"/>
      <c r="F146" s="80"/>
      <c r="G146" s="49"/>
      <c r="H146" s="49"/>
      <c r="I146" s="50"/>
      <c r="L146" s="45" t="s">
        <v>58</v>
      </c>
      <c r="M146" s="49">
        <f>7*1.6*C13-1.6*0.15*C21*C22*C20/12*((C21/2-C42/2/12)/C21)+1.6*U26*U27*C20/12*0.15</f>
        <v>1695.8271752963822</v>
      </c>
      <c r="N146" s="49" t="s">
        <v>8</v>
      </c>
    </row>
    <row r="147" spans="1:16" ht="18" x14ac:dyDescent="0.35">
      <c r="A147" s="68" t="s">
        <v>26</v>
      </c>
      <c r="B147" s="79">
        <f>1.6*C13*(3*B144)+1.6*C13*(2*(B144+0.5*C17*12))+1.6*C13*(3*(B144+1*C17*12))+1.6*C13*(2*(B144+1.5*C17*12))-1.6*0.15*C21*C22*C20/12*((C21/2-C42/2/12)/C21)*(C21/2-C42/2/12)*12/2+1.6*U26*U27*C20/12*0.15*(C21*12/2-U26*12/3)</f>
        <v>67833.620820870667</v>
      </c>
      <c r="C147" s="48" t="s">
        <v>27</v>
      </c>
      <c r="D147" s="80"/>
      <c r="E147" s="49"/>
      <c r="F147" s="80"/>
      <c r="G147" s="49"/>
      <c r="H147" s="49"/>
      <c r="I147" s="50"/>
      <c r="L147" s="45" t="s">
        <v>26</v>
      </c>
      <c r="M147" s="49">
        <f>1.6*C13*(2*(M144))+1.6*C13*(3*(M144+0.5*C17*12))+1.6*C13*(2*(M144+1*C17*12))-1.6*0.15*C21*C22*C20/12*((C21/2-C42/2/12)/C21)*(C21/2-C42/2/12)*12/2+1.6*U26*U27*C20/12*0.15*(C21*12/2-U26*12/3)</f>
        <v>65913.620820870667</v>
      </c>
      <c r="N147" s="49" t="s">
        <v>27</v>
      </c>
    </row>
    <row r="148" spans="1:16" ht="18" x14ac:dyDescent="0.35">
      <c r="A148" s="68" t="s">
        <v>66</v>
      </c>
      <c r="B148" s="58">
        <f>+B146*B143/B147</f>
        <v>1.8994392540591276</v>
      </c>
      <c r="C148" s="48"/>
      <c r="D148" s="80"/>
      <c r="E148" s="80"/>
      <c r="F148" s="80"/>
      <c r="G148" s="49"/>
      <c r="H148" s="49"/>
      <c r="I148" s="50"/>
      <c r="L148" s="45" t="s">
        <v>66</v>
      </c>
      <c r="M148" s="80">
        <f>+M146*B143/M147</f>
        <v>1.3454469808771896</v>
      </c>
      <c r="N148" s="80"/>
    </row>
    <row r="149" spans="1:16" ht="18" x14ac:dyDescent="0.35">
      <c r="A149" s="68" t="s">
        <v>447</v>
      </c>
      <c r="B149" s="58">
        <f>1/B148</f>
        <v>0.52647116661561366</v>
      </c>
      <c r="C149" s="48"/>
      <c r="D149" s="80"/>
      <c r="E149" s="80"/>
      <c r="F149" s="80"/>
      <c r="G149" s="49"/>
      <c r="H149" s="49"/>
      <c r="I149" s="50"/>
      <c r="L149" s="45" t="s">
        <v>67</v>
      </c>
      <c r="M149" s="80">
        <f>1/M148</f>
        <v>0.74324742201883798</v>
      </c>
      <c r="N149" s="8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  <c r="L150" s="45" t="s">
        <v>6</v>
      </c>
      <c r="M150" s="80">
        <f>+MIN(1/M145*(3.5-2.5*M149)*(1.9+0.1*M148),10)</f>
        <v>8.5214860372674899</v>
      </c>
      <c r="N150" s="80"/>
    </row>
    <row r="151" spans="1:16" ht="18" x14ac:dyDescent="0.35">
      <c r="A151" s="68" t="s">
        <v>12</v>
      </c>
      <c r="B151" s="79">
        <f>0.85*B150*(C9*1000)^0.5/1000*C22*12*B143</f>
        <v>4058.688688166787</v>
      </c>
      <c r="C151" s="48" t="s">
        <v>18</v>
      </c>
      <c r="D151" s="49"/>
      <c r="E151" s="49"/>
      <c r="F151" s="49"/>
      <c r="G151" s="49"/>
      <c r="H151" s="49"/>
      <c r="I151" s="50"/>
      <c r="L151" s="45" t="s">
        <v>12</v>
      </c>
      <c r="M151" s="49">
        <f>0.85*M150*(C9*1000)^0.5/1000*C22*12*B143</f>
        <v>3458.6058985828777</v>
      </c>
      <c r="N151" s="49" t="s">
        <v>8</v>
      </c>
    </row>
    <row r="152" spans="1:16" ht="18" x14ac:dyDescent="0.35">
      <c r="A152" s="68" t="s">
        <v>14</v>
      </c>
      <c r="B152" s="74">
        <f>+B146/B151</f>
        <v>0.60705005103735465</v>
      </c>
      <c r="C152" s="48"/>
      <c r="D152" s="110" t="s">
        <v>282</v>
      </c>
      <c r="F152" s="4" t="s">
        <v>14</v>
      </c>
      <c r="G152" s="88">
        <f>+IF(B144&gt;0,B152,M152)</f>
        <v>0.60705005103735465</v>
      </c>
      <c r="H152" s="49"/>
      <c r="I152" s="50"/>
      <c r="L152" s="45" t="s">
        <v>14</v>
      </c>
      <c r="M152" s="49">
        <f>+M146/M151</f>
        <v>0.49032102096143043</v>
      </c>
      <c r="N152" s="49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50.885000000000005</v>
      </c>
      <c r="C156" s="48" t="s">
        <v>0</v>
      </c>
      <c r="D156" s="49"/>
      <c r="E156" s="49"/>
      <c r="F156" s="49"/>
      <c r="G156" s="49"/>
      <c r="H156" s="49"/>
      <c r="I156" s="50"/>
      <c r="L156" s="4" t="s">
        <v>83</v>
      </c>
      <c r="O156" s="4">
        <f>+B163/2*B111</f>
        <v>547.72255750516615</v>
      </c>
      <c r="P156" s="4" t="s">
        <v>5</v>
      </c>
    </row>
    <row r="157" spans="1:16" x14ac:dyDescent="0.25">
      <c r="A157" s="68" t="s">
        <v>64</v>
      </c>
      <c r="B157" s="55">
        <f>+C17*12*0.866-C42/2+C11</f>
        <v>15.675999999999998</v>
      </c>
      <c r="C157" s="48" t="s">
        <v>0</v>
      </c>
      <c r="D157" s="80"/>
      <c r="E157" s="49"/>
      <c r="F157" s="49"/>
      <c r="G157" s="49"/>
      <c r="H157" s="49"/>
      <c r="I157" s="50"/>
      <c r="L157" s="45" t="s">
        <v>64</v>
      </c>
      <c r="M157" s="80">
        <f>+C17*12-C42/2+C11+C17*12</f>
        <v>56.5</v>
      </c>
      <c r="N157" s="49" t="s">
        <v>0</v>
      </c>
    </row>
    <row r="158" spans="1:16" x14ac:dyDescent="0.25">
      <c r="A158" s="68" t="s">
        <v>65</v>
      </c>
      <c r="B158" s="58">
        <f>MAX(B157/B156,0)</f>
        <v>0.30806721037633872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  <c r="L158" s="45" t="s">
        <v>65</v>
      </c>
      <c r="M158" s="80">
        <f>MAX(M157/B156,0)</f>
        <v>1.1103468605679472</v>
      </c>
      <c r="N158" s="49"/>
    </row>
    <row r="159" spans="1:16" ht="18" x14ac:dyDescent="0.35">
      <c r="A159" s="68" t="s">
        <v>58</v>
      </c>
      <c r="B159" s="79">
        <f>9*1.6*C13-1.6*0.15*C21*C22*C20/12*((C22/2-C42/2/12)/C22)+1.6*U26*U27*C20/12*0.15</f>
        <v>2210.9011352963821</v>
      </c>
      <c r="C159" s="48" t="s">
        <v>18</v>
      </c>
      <c r="D159" s="80"/>
      <c r="E159" s="49"/>
      <c r="F159" s="80"/>
      <c r="G159" s="49"/>
      <c r="H159" s="49"/>
      <c r="I159" s="50"/>
      <c r="L159" s="45" t="s">
        <v>58</v>
      </c>
      <c r="M159" s="49">
        <f>4*1.6*C13-1.6*0.15*C21*C22*C20/12*((C22/2-C42/2/12)/C22)</f>
        <v>920.12871333333339</v>
      </c>
      <c r="N159" s="49" t="s">
        <v>8</v>
      </c>
    </row>
    <row r="160" spans="1:16" ht="18" x14ac:dyDescent="0.35">
      <c r="A160" s="68" t="s">
        <v>26</v>
      </c>
      <c r="B160" s="79">
        <f>1.6*C13*(5*B157)+1.6*C13*(4*(B157+0.866*C17*12))-1.6*0.15*C21*C22*C20/12*((C22/2-C42/2/12)/C22)*(C22/2-C42/2/12)*12/2+1.6*U26*U27*C20/12*0.15*(C22*12/2-U27*12/3)</f>
        <v>65404.355674832026</v>
      </c>
      <c r="C160" s="48" t="s">
        <v>27</v>
      </c>
      <c r="D160" s="80"/>
      <c r="E160" s="49"/>
      <c r="F160" s="80"/>
      <c r="G160" s="49"/>
      <c r="H160" s="49"/>
      <c r="I160" s="50"/>
      <c r="L160" s="45" t="s">
        <v>26</v>
      </c>
      <c r="M160" s="49">
        <f>1.6*C13*(4*(M157))-1.6*0.15*C21*C22*C20/12*((C22/2-C42/2/12)/C22)*(C22/2-C42/2/12)*12/2</f>
        <v>54487.869658546668</v>
      </c>
      <c r="N160" s="49" t="s">
        <v>27</v>
      </c>
    </row>
    <row r="161" spans="1:32" ht="18" x14ac:dyDescent="0.35">
      <c r="A161" s="68" t="s">
        <v>66</v>
      </c>
      <c r="B161" s="58">
        <f>+B159*B156/B160</f>
        <v>1.7200949861638606</v>
      </c>
      <c r="C161" s="48"/>
      <c r="D161" s="80"/>
      <c r="E161" s="80"/>
      <c r="F161" s="80"/>
      <c r="G161" s="49"/>
      <c r="H161" s="49"/>
      <c r="I161" s="50"/>
      <c r="L161" s="45" t="s">
        <v>66</v>
      </c>
      <c r="M161" s="80">
        <f>+M159*B156/M160</f>
        <v>0.8592875785266203</v>
      </c>
      <c r="N161" s="80"/>
    </row>
    <row r="162" spans="1:32" ht="18" x14ac:dyDescent="0.35">
      <c r="A162" s="68" t="s">
        <v>447</v>
      </c>
      <c r="B162" s="58">
        <f>1/B161</f>
        <v>0.58136324333471279</v>
      </c>
      <c r="C162" s="48"/>
      <c r="D162" s="80"/>
      <c r="E162" s="80"/>
      <c r="F162" s="80"/>
      <c r="G162" s="49"/>
      <c r="H162" s="49"/>
      <c r="I162" s="50"/>
      <c r="L162" s="45" t="s">
        <v>67</v>
      </c>
      <c r="M162" s="80">
        <f>1/M161</f>
        <v>1.1637547486892021</v>
      </c>
      <c r="N162" s="8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  <c r="L163" s="45" t="s">
        <v>6</v>
      </c>
      <c r="M163" s="80">
        <f>+MIN(1/M158*(3.5-2.5*M162)*(1.9+0.1*M161),10)</f>
        <v>1.0563506214721545</v>
      </c>
      <c r="N163" s="80"/>
    </row>
    <row r="164" spans="1:32" ht="18" x14ac:dyDescent="0.35">
      <c r="A164" s="68" t="s">
        <v>12</v>
      </c>
      <c r="B164" s="79">
        <f>0.85*B163*(C9*1000)^0.5/1000*C21*12*B156</f>
        <v>4406.3833357406256</v>
      </c>
      <c r="C164" s="48" t="s">
        <v>18</v>
      </c>
      <c r="D164" s="49"/>
      <c r="E164" s="49"/>
      <c r="F164" s="49"/>
      <c r="G164" s="49"/>
      <c r="H164" s="49"/>
      <c r="I164" s="50"/>
      <c r="L164" s="45" t="s">
        <v>12</v>
      </c>
      <c r="M164" s="49">
        <f>0.85*M163*(C9*1000)^0.5/1000*C21*12*B156</f>
        <v>465.46857751541546</v>
      </c>
      <c r="N164" s="49" t="s">
        <v>8</v>
      </c>
    </row>
    <row r="165" spans="1:32" ht="18" x14ac:dyDescent="0.35">
      <c r="A165" s="68" t="s">
        <v>14</v>
      </c>
      <c r="B165" s="74">
        <f>+B159/B164</f>
        <v>0.50174961342185942</v>
      </c>
      <c r="C165" s="49"/>
      <c r="D165" s="110" t="s">
        <v>282</v>
      </c>
      <c r="F165" s="4" t="s">
        <v>14</v>
      </c>
      <c r="G165" s="83">
        <f>+IF(B157&gt;0,B165,M165)</f>
        <v>0.50174961342185942</v>
      </c>
      <c r="H165" s="49"/>
      <c r="I165" s="50"/>
      <c r="L165" s="45" t="s">
        <v>14</v>
      </c>
      <c r="M165" s="49">
        <f>+M159/M164</f>
        <v>1.9767794385709321</v>
      </c>
      <c r="N165" s="49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52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+C22*C21*C20/12/27-2*U26*U27*C20/12/27</f>
        <v>37.879536431157874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26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62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10128.196000000002</v>
      </c>
      <c r="U171" s="4" t="s">
        <v>35</v>
      </c>
    </row>
    <row r="172" spans="1:32" ht="18.75" x14ac:dyDescent="0.35">
      <c r="A172" s="45"/>
      <c r="B172" s="53">
        <f>+C65</f>
        <v>18</v>
      </c>
      <c r="C172" s="48" t="s">
        <v>71</v>
      </c>
      <c r="D172" s="83" t="str">
        <f>"#"&amp;+C23</f>
        <v>#11</v>
      </c>
      <c r="E172" s="49" t="s">
        <v>72</v>
      </c>
      <c r="F172" s="49" t="s">
        <v>73</v>
      </c>
      <c r="G172" s="57">
        <f>+C22-0.5</f>
        <v>13.391999999999999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22.709198643184934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1.7281312499999999</v>
      </c>
      <c r="H173" s="48" t="s">
        <v>74</v>
      </c>
      <c r="I173" s="50"/>
      <c r="Q173" s="4" t="s">
        <v>7</v>
      </c>
      <c r="R173" s="4">
        <f>+R172*T171/1000</f>
        <v>2218.9765664134379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1280.7572757997498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1886.1300814514223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230.0032148611111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17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15</v>
      </c>
      <c r="H176" s="48" t="s">
        <v>74</v>
      </c>
      <c r="I176" s="50"/>
      <c r="Q176" s="4" t="s">
        <v>14</v>
      </c>
      <c r="R176" s="4">
        <f>+R175/R174</f>
        <v>0.12194451333076567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1354.8432950390625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52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2635.600570838812</v>
      </c>
      <c r="D180" s="48" t="s">
        <v>78</v>
      </c>
      <c r="E180" s="49" t="s">
        <v>79</v>
      </c>
      <c r="F180" s="88">
        <f>+C180/2000</f>
        <v>1.317800285419406</v>
      </c>
      <c r="G180" s="48" t="s">
        <v>19</v>
      </c>
      <c r="H180" s="49"/>
      <c r="I180" s="50"/>
      <c r="Q180" s="4" t="s">
        <v>54</v>
      </c>
      <c r="T180" s="4">
        <f>+T179/2</f>
        <v>26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194.77300000000002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13872.196000000002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33.648833599317008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3039.2458685331744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2583.3589882531983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466.78321486111111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0.18068848231454587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52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26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90.693250000000006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4716.049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49.722052728589354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1033.2345678398724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878.24938266389154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234.4916370486111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0.26699892044029105</v>
      </c>
      <c r="T199" s="4" t="s">
        <v>146</v>
      </c>
      <c r="V199" s="4">
        <f>+(C18*C18+C18*T170+3.1415*T170^2/4/4)/144</f>
        <v>17.345453993055557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52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95.3964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4960.6127999999999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47.657232879204678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543.40790592177257</v>
      </c>
      <c r="S207" s="4" t="s">
        <v>8</v>
      </c>
      <c r="T207" s="4" t="s">
        <v>93</v>
      </c>
    </row>
    <row r="208" spans="1:58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461.89672003350665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236.40907943316355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0.51182238188661333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1" man="1"/>
    <brk id="84" max="31" man="1"/>
    <brk id="125" max="31" man="1"/>
    <brk id="166" max="31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7" width="9.140625" style="4" hidden="1" customWidth="1"/>
    <col min="38" max="52" width="9.140625" style="4" customWidth="1"/>
    <col min="53" max="16384" width="9.140625" style="4"/>
  </cols>
  <sheetData>
    <row r="1" spans="1:17" ht="15.6" x14ac:dyDescent="0.35">
      <c r="A1" s="15" t="s">
        <v>283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40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80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8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21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21" x14ac:dyDescent="0.25">
      <c r="A18" s="45"/>
      <c r="B18" s="46" t="s">
        <v>423</v>
      </c>
      <c r="C18" s="55">
        <f>+IF(C12&lt;61,15,IF(C12&lt;121,21,IF(C12&lt;201,27,IF(C12&lt;281,30,36))))</f>
        <v>15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21" ht="18" x14ac:dyDescent="0.35">
      <c r="A19" s="45"/>
      <c r="B19" s="46" t="s">
        <v>424</v>
      </c>
      <c r="C19" s="54">
        <f>17+30/200*C12</f>
        <v>23</v>
      </c>
      <c r="D19" s="48" t="s">
        <v>0</v>
      </c>
      <c r="E19" s="46" t="s">
        <v>260</v>
      </c>
      <c r="F19" s="57">
        <f>+C21-2*U26</f>
        <v>10.443418013856814</v>
      </c>
      <c r="G19" s="48" t="s">
        <v>422</v>
      </c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20.737575</v>
      </c>
    </row>
    <row r="20" spans="1:21" ht="18" x14ac:dyDescent="0.35">
      <c r="A20" s="45"/>
      <c r="B20" s="46" t="s">
        <v>425</v>
      </c>
      <c r="C20" s="56">
        <v>58</v>
      </c>
      <c r="D20" s="48" t="s">
        <v>0</v>
      </c>
      <c r="E20" s="46" t="s">
        <v>261</v>
      </c>
      <c r="F20" s="74">
        <f>2*S27</f>
        <v>6.67</v>
      </c>
      <c r="G20" s="48" t="s">
        <v>422</v>
      </c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21" x14ac:dyDescent="0.25">
      <c r="A21" s="45"/>
      <c r="B21" s="46" t="s">
        <v>426</v>
      </c>
      <c r="C21" s="53">
        <f>2*C18/12+4*C17</f>
        <v>14.5</v>
      </c>
      <c r="D21" s="48" t="s">
        <v>422</v>
      </c>
      <c r="I21" s="50"/>
      <c r="J21" s="4" t="s">
        <v>34</v>
      </c>
      <c r="L21" s="4">
        <f>+IF(C23&lt;9,(C23/8),IF(C23=9,1.128,IF(C23=10,1.27,IF(C23=11,1.41,IF(C23=14,1.693,0)))))</f>
        <v>1.41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21" ht="17.25" x14ac:dyDescent="0.25">
      <c r="A22" s="45"/>
      <c r="B22" s="46" t="s">
        <v>427</v>
      </c>
      <c r="C22" s="54">
        <f>2*C18/12+2*C17*0.866+2*C17</f>
        <v>13.696</v>
      </c>
      <c r="D22" s="48" t="s">
        <v>422</v>
      </c>
      <c r="I22" s="50"/>
      <c r="J22" s="4" t="s">
        <v>36</v>
      </c>
      <c r="L22" s="4">
        <f>3.1415*L21^2/4</f>
        <v>1.5614040375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21" x14ac:dyDescent="0.25">
      <c r="A23" s="45"/>
      <c r="B23" s="46" t="s">
        <v>428</v>
      </c>
      <c r="C23" s="47">
        <v>11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21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21" ht="18" x14ac:dyDescent="0.35">
      <c r="A25" s="45"/>
      <c r="B25" s="46" t="s">
        <v>430</v>
      </c>
      <c r="C25" s="57">
        <f>+C20-C14-C15-P21-0.5*L21</f>
        <v>46.885000000000005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21" ht="18" x14ac:dyDescent="0.35">
      <c r="A26" s="45"/>
      <c r="B26" s="46" t="s">
        <v>431</v>
      </c>
      <c r="C26" s="58">
        <f>+C20-C14-C15-P21/2</f>
        <v>48.295000000000002</v>
      </c>
      <c r="D26" s="48" t="s">
        <v>0</v>
      </c>
      <c r="E26" s="49"/>
      <c r="F26" s="49"/>
      <c r="G26" s="49"/>
      <c r="H26" s="49"/>
      <c r="I26" s="50"/>
      <c r="O26" s="93"/>
      <c r="P26" s="93" t="s">
        <v>258</v>
      </c>
      <c r="Q26" s="93">
        <f>+C21/2</f>
        <v>7.25</v>
      </c>
      <c r="R26" s="93" t="s">
        <v>262</v>
      </c>
      <c r="S26" s="93">
        <f>+Q26</f>
        <v>7.25</v>
      </c>
      <c r="T26" s="93" t="s">
        <v>265</v>
      </c>
      <c r="U26" s="93">
        <f>+U27/0.866*0.5</f>
        <v>2.0282909930715936</v>
      </c>
    </row>
    <row r="27" spans="1:21" ht="18" x14ac:dyDescent="0.35">
      <c r="A27" s="45"/>
      <c r="B27" s="46" t="s">
        <v>432</v>
      </c>
      <c r="C27" s="54">
        <f>+C20-C14-C15-1</f>
        <v>48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9.027166454840966</v>
      </c>
      <c r="O27" s="93"/>
      <c r="P27" s="93" t="s">
        <v>259</v>
      </c>
      <c r="Q27" s="93">
        <f>C17-1.732*C18/12</f>
        <v>0.83499999999999996</v>
      </c>
      <c r="R27" s="93" t="s">
        <v>263</v>
      </c>
      <c r="S27" s="93">
        <f>+Q27+2*C18/12</f>
        <v>3.335</v>
      </c>
      <c r="T27" s="93" t="s">
        <v>264</v>
      </c>
      <c r="U27" s="93">
        <f>+(C22-F20)/2</f>
        <v>3.5129999999999999</v>
      </c>
    </row>
    <row r="28" spans="1:21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  <c r="O28" s="93"/>
      <c r="P28" s="93"/>
      <c r="Q28" s="93"/>
      <c r="R28" s="93"/>
      <c r="S28" s="93"/>
      <c r="T28" s="93"/>
      <c r="U28" s="93"/>
    </row>
    <row r="29" spans="1:21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M29" s="4">
        <f>+IF(C8="Round",C16,L27)</f>
        <v>8</v>
      </c>
    </row>
    <row r="30" spans="1:21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21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21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48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24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56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+IF(B130&gt;B128,"NA",IF(B139&lt;1,"OK","NG"))</f>
        <v>NA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8444.3520000000008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+IF(G152&lt;1,"OK","NG")</f>
        <v>OK</v>
      </c>
      <c r="D36" s="49"/>
      <c r="E36" s="49"/>
      <c r="F36" s="49"/>
      <c r="G36" s="46" t="s">
        <v>346</v>
      </c>
      <c r="H36" s="62" t="s">
        <v>229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12.808523640679853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+IF(G165&lt;1,"OK","NG")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1850.064829565546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1572.5551051307141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108.15968222222222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1.6*23*C13-1.6*C21*C22*C20/12*0.15+1.6*2*U26*U27*C20/12*0.15</f>
        <v>2730.1641761200926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6.8779581630770109E-2</v>
      </c>
    </row>
    <row r="41" spans="1:25" x14ac:dyDescent="0.25">
      <c r="A41" s="45"/>
      <c r="B41" s="46" t="s">
        <v>433</v>
      </c>
      <c r="C41" s="58">
        <f>+(C40/4)^0.5</f>
        <v>26.125486484083375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27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1.6*C13*(5*(C17*12+C11-C42/4))+1.6*C13*(4*((1+0.866)*C17*12+C11-C42/4))-1.6*(C22/2-C42/12/4)*C21*C20/12*0.15*(C22/2-C42/12/4)*12/2+1.6*U26*U27*C20/12*0.15*(C22*12/2-U27*12/3)</f>
        <v>49690.089449212595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3426.9027206353512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46.885000000000005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1.3999223002739818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20.298873353972738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27.065164471963651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22.341575734507856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27.193300000000004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27.193300000000004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18.165599999999998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27.065164471963651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1.0587032710280373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0.97148531706625052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10.411875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20.877689291573606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3.7050000000000001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27.065164471963651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3.7050000000000001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3.7050000000000001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46.337328364937051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65.676000000000002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17.333863511265356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17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46.337328364937051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65.676000000000002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1.6*C13*(2*(0.5*C17*12+C11-C42/4))+1.6*C13*(3*(1*C17*12+C11-C42/4))+1.6*C13*(2*(1.5*C17*12+C11-C42/4))+1.6*C13*(3*(2*C17*12+C11-C42/4))-1.6*(C21/2-C42/12/4)*C22*C20/12*0.15*(C21/2-C42/12/4)*12/2+1.6*U26*U27*C20/12*0.15*(C21*12/2-U26*12/3)</f>
        <v>51492.885405808447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3759.7024975035374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48.295000000000002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1.4924412417428812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9.8088750000000005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20.440475246910498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27.253966995880663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3.7050000000000001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21.737409929273731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26.457932799999998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26.457932799999998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17.158348799999999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26.457932799999998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3.7050000000000001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46.337328364937051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46.337328364937051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70.5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70.5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16.944962459788695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17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48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37.5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24</v>
      </c>
      <c r="C87" s="48" t="s">
        <v>0</v>
      </c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+C17*12+C11</f>
        <v>39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+IF(M86&gt;O92,0,IF(M86&gt;O88,6,IF(M86&gt;O90,14,22)))</f>
        <v>22</v>
      </c>
      <c r="G88" s="49"/>
      <c r="H88" s="49"/>
      <c r="I88" s="50"/>
      <c r="J88" s="4" t="s">
        <v>251</v>
      </c>
      <c r="K88" s="64"/>
      <c r="L88" s="64"/>
      <c r="M88" s="64"/>
      <c r="N88" s="64"/>
      <c r="O88" s="64">
        <f>+(1+0.866)*C17*12+C11</f>
        <v>70.176000000000016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241</v>
      </c>
      <c r="K89" s="64"/>
      <c r="L89" s="64"/>
      <c r="M89" s="64"/>
      <c r="N89" s="64"/>
      <c r="O89" s="64">
        <f>+C17*12*0.5+C11</f>
        <v>21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300</v>
      </c>
      <c r="C90" s="48" t="s">
        <v>0</v>
      </c>
      <c r="D90" s="49"/>
      <c r="E90" s="49"/>
      <c r="F90" s="49"/>
      <c r="G90" s="49"/>
      <c r="H90" s="49"/>
      <c r="I90" s="50"/>
      <c r="J90" s="4" t="s">
        <v>242</v>
      </c>
      <c r="K90" s="64"/>
      <c r="L90" s="64"/>
      <c r="M90" s="64"/>
      <c r="N90" s="64"/>
      <c r="O90" s="64">
        <f>+C17*12*1+C11</f>
        <v>39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3154.8819312297569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243</v>
      </c>
      <c r="K91" s="64"/>
      <c r="L91" s="64"/>
      <c r="M91" s="64"/>
      <c r="N91" s="64"/>
      <c r="O91" s="64">
        <f>+C17*12*1.5+C11</f>
        <v>57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2681.6496415452934</v>
      </c>
      <c r="C92" s="48" t="s">
        <v>18</v>
      </c>
      <c r="D92" s="49"/>
      <c r="E92" s="49"/>
      <c r="F92" s="49"/>
      <c r="G92" s="49"/>
      <c r="H92" s="49"/>
      <c r="I92" s="50"/>
      <c r="J92" s="4" t="s">
        <v>281</v>
      </c>
      <c r="K92" s="64"/>
      <c r="L92" s="64"/>
      <c r="M92" s="64"/>
      <c r="N92" s="64"/>
      <c r="O92" s="64">
        <f>+C17*12*2+C11</f>
        <v>75</v>
      </c>
      <c r="P92" s="4" t="s">
        <v>0</v>
      </c>
      <c r="Q92" s="4" t="s">
        <v>120</v>
      </c>
    </row>
    <row r="93" spans="1:17" ht="18" x14ac:dyDescent="0.35">
      <c r="A93" s="68" t="s">
        <v>58</v>
      </c>
      <c r="B93" s="79">
        <f>+E88*1.6*C13-1.6*0.15*C21*C22*C20/12+1.6*0.15*(2*M86)/12*(2*M86)/12*C20/12+1.6*2*U26*U27*C20/12*0.15</f>
        <v>2647.4766761200922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0.98725673745899589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  <c r="L95" s="4" t="s">
        <v>83</v>
      </c>
      <c r="O95" s="4">
        <f>+B89</f>
        <v>219.08902300206645</v>
      </c>
      <c r="P95" s="4" t="s">
        <v>5</v>
      </c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48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61.5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+IF(M98&gt;O102,0,IF(M98&gt;O101,3,IF(M98&gt;O100,5,IF(M98&gt;O99,8,10))))</f>
        <v>3</v>
      </c>
      <c r="G99" s="49"/>
      <c r="H99" s="49"/>
      <c r="I99" s="50"/>
      <c r="J99" s="4" t="s">
        <v>241</v>
      </c>
      <c r="K99" s="64"/>
      <c r="L99" s="64"/>
      <c r="M99" s="64"/>
      <c r="N99" s="64"/>
      <c r="O99" s="64">
        <f>+C17*12*0.5+C11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242</v>
      </c>
      <c r="K100" s="64"/>
      <c r="L100" s="64"/>
      <c r="M100" s="64"/>
      <c r="N100" s="64"/>
      <c r="O100" s="64">
        <f>+C17*12*1+C11</f>
        <v>39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+M105*12*B98</f>
        <v>7888.8960000000006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243</v>
      </c>
      <c r="K101" s="64"/>
      <c r="L101" s="64"/>
      <c r="M101" s="64"/>
      <c r="N101" s="64"/>
      <c r="O101" s="64">
        <f>+C17*12*1.5+C11</f>
        <v>57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864.18525860245518</v>
      </c>
      <c r="C102" s="48" t="s">
        <v>18</v>
      </c>
      <c r="D102" s="49" t="s">
        <v>63</v>
      </c>
      <c r="E102" s="49"/>
      <c r="F102" s="49"/>
      <c r="G102" s="49"/>
      <c r="H102" s="49"/>
      <c r="I102" s="50"/>
      <c r="J102" s="4" t="s">
        <v>281</v>
      </c>
      <c r="K102" s="64"/>
      <c r="L102" s="64"/>
      <c r="M102" s="64"/>
      <c r="N102" s="64"/>
      <c r="O102" s="64">
        <f>+C17*12*2+C11</f>
        <v>75</v>
      </c>
      <c r="P102" s="4" t="s">
        <v>0</v>
      </c>
      <c r="Q102" s="4" t="s">
        <v>120</v>
      </c>
    </row>
    <row r="103" spans="1:17" ht="18" x14ac:dyDescent="0.35">
      <c r="A103" s="68" t="s">
        <v>12</v>
      </c>
      <c r="B103" s="79">
        <f>+B102*0.85</f>
        <v>734.55746981208688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+E99*C13*1.6-1.6*0.15*C21*C22*C20/12*((C21/2-M98/12)/C21)+1.6*U26*U27*C20/12*0.15</f>
        <v>358.50480806004623</v>
      </c>
      <c r="C104" s="48" t="s">
        <v>18</v>
      </c>
      <c r="D104" s="49" t="s">
        <v>132</v>
      </c>
      <c r="E104" s="49"/>
      <c r="F104" s="49"/>
      <c r="G104" s="49"/>
      <c r="H104" s="49"/>
      <c r="I104" s="50"/>
      <c r="L104" s="4" t="s">
        <v>270</v>
      </c>
      <c r="M104" s="4">
        <f>+C22</f>
        <v>13.696</v>
      </c>
    </row>
    <row r="105" spans="1:17" ht="18" x14ac:dyDescent="0.35">
      <c r="A105" s="68" t="s">
        <v>14</v>
      </c>
      <c r="B105" s="74">
        <f>+B104/B103</f>
        <v>0.48805549299193468</v>
      </c>
      <c r="C105" s="49"/>
      <c r="D105" s="49"/>
      <c r="E105" s="49"/>
      <c r="F105" s="49"/>
      <c r="G105" s="49"/>
      <c r="H105" s="49"/>
      <c r="I105" s="50"/>
      <c r="L105" s="4" t="s">
        <v>269</v>
      </c>
      <c r="M105" s="4">
        <f>+IF(M98/12&lt;F19/2,C22,C22-2*(M98/12-F19/2)/0.5*0.866)</f>
        <v>13.696</v>
      </c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48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61.5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+IF(M109&gt;O111,0,IF(M109&gt;O110,4,9))</f>
        <v>4</v>
      </c>
      <c r="G110" s="49"/>
      <c r="H110" s="49"/>
      <c r="I110" s="50"/>
      <c r="J110" s="4" t="s">
        <v>252</v>
      </c>
      <c r="K110" s="64"/>
      <c r="L110" s="64"/>
      <c r="M110" s="64"/>
      <c r="N110" s="64"/>
      <c r="O110" s="64">
        <f>+C17*12+C11</f>
        <v>39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253</v>
      </c>
      <c r="K111" s="64"/>
      <c r="L111" s="64"/>
      <c r="M111" s="64"/>
      <c r="N111" s="64"/>
      <c r="O111" s="64">
        <f>+(1+0.866)*C17*12+C11</f>
        <v>70.176000000000016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+M116*12*B109</f>
        <v>7161.4226327944561</v>
      </c>
      <c r="C112" s="48" t="s">
        <v>436</v>
      </c>
      <c r="D112" s="49"/>
      <c r="E112" s="49"/>
      <c r="F112" s="49"/>
      <c r="G112" s="49"/>
      <c r="H112" s="49"/>
      <c r="I112" s="50"/>
      <c r="K112" s="64"/>
      <c r="L112" s="64"/>
      <c r="M112" s="64"/>
      <c r="N112" s="64"/>
      <c r="O112" s="64"/>
    </row>
    <row r="113" spans="1:16" ht="18.75" x14ac:dyDescent="0.35">
      <c r="A113" s="68" t="s">
        <v>7</v>
      </c>
      <c r="B113" s="79">
        <f>+B111*B112/1000</f>
        <v>784.49454396191197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16" ht="18" x14ac:dyDescent="0.35">
      <c r="A114" s="68" t="s">
        <v>12</v>
      </c>
      <c r="B114" s="79">
        <f>+B113*0.85</f>
        <v>666.82036236762519</v>
      </c>
      <c r="C114" s="48" t="s">
        <v>18</v>
      </c>
      <c r="D114" s="49"/>
      <c r="E114" s="49"/>
      <c r="F114" s="49"/>
      <c r="G114" s="49"/>
      <c r="H114" s="49"/>
      <c r="I114" s="50"/>
      <c r="L114" s="4" t="s">
        <v>83</v>
      </c>
      <c r="O114" s="4">
        <f>+B111</f>
        <v>109.54451150103323</v>
      </c>
      <c r="P114" s="4" t="s">
        <v>5</v>
      </c>
    </row>
    <row r="115" spans="1:16" ht="18" x14ac:dyDescent="0.35">
      <c r="A115" s="68" t="s">
        <v>58</v>
      </c>
      <c r="B115" s="79">
        <f>+E110*C13*1.6-1.6*0.15*C21*C22*C20/12*((C22/2-M109/12)/C22)+1.6*U26*U27*C20/12*0.15</f>
        <v>491.28458806004619</v>
      </c>
      <c r="C115" s="48" t="s">
        <v>18</v>
      </c>
      <c r="D115" s="49" t="s">
        <v>132</v>
      </c>
      <c r="E115" s="49"/>
      <c r="F115" s="49"/>
      <c r="G115" s="49"/>
      <c r="H115" s="49"/>
      <c r="I115" s="50"/>
      <c r="L115" s="4" t="s">
        <v>270</v>
      </c>
      <c r="M115" s="4">
        <f>+C21</f>
        <v>14.5</v>
      </c>
    </row>
    <row r="116" spans="1:16" ht="18" x14ac:dyDescent="0.35">
      <c r="A116" s="68" t="s">
        <v>14</v>
      </c>
      <c r="B116" s="74">
        <f>+B115/B114</f>
        <v>0.73675702750840077</v>
      </c>
      <c r="C116" s="48"/>
      <c r="D116" s="49"/>
      <c r="E116" s="49"/>
      <c r="F116" s="49"/>
      <c r="G116" s="49"/>
      <c r="H116" s="49"/>
      <c r="I116" s="50"/>
      <c r="L116" s="4" t="s">
        <v>269</v>
      </c>
      <c r="M116" s="4">
        <f>+IF(M109/12&lt;F20/2,C21,C21-2*(M109/12-F20/2)/0.866*0.5)</f>
        <v>12.433025404157043</v>
      </c>
    </row>
    <row r="117" spans="1:16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16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16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16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16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16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16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16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16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16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16" x14ac:dyDescent="0.25">
      <c r="A127" s="68" t="s">
        <v>1</v>
      </c>
      <c r="B127" s="53">
        <f>+B86</f>
        <v>48</v>
      </c>
      <c r="C127" s="48" t="s">
        <v>0</v>
      </c>
      <c r="F127" s="49"/>
      <c r="G127" s="49"/>
      <c r="H127" s="49"/>
      <c r="I127" s="50"/>
      <c r="K127" s="4" t="s">
        <v>352</v>
      </c>
    </row>
    <row r="128" spans="1:16" x14ac:dyDescent="0.25">
      <c r="A128" s="68" t="s">
        <v>54</v>
      </c>
      <c r="B128" s="54">
        <f>+B127/2</f>
        <v>24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OK</v>
      </c>
    </row>
    <row r="129" spans="1:24" x14ac:dyDescent="0.25">
      <c r="A129" s="68"/>
      <c r="B129" s="49"/>
      <c r="C129" s="48"/>
      <c r="D129" s="46" t="s">
        <v>453</v>
      </c>
      <c r="E129" s="83">
        <v>22</v>
      </c>
      <c r="G129" s="49"/>
      <c r="H129" s="49"/>
      <c r="I129" s="50"/>
    </row>
    <row r="130" spans="1:24" ht="18" x14ac:dyDescent="0.35">
      <c r="A130" s="68" t="s">
        <v>454</v>
      </c>
      <c r="B130" s="57">
        <f>+C17*12-C42/2+C11</f>
        <v>25.5</v>
      </c>
      <c r="C130" s="48" t="s">
        <v>0</v>
      </c>
      <c r="D130" s="49" t="str">
        <f>IF(B130&gt;B128,"&gt;","&lt;")</f>
        <v>&gt;</v>
      </c>
      <c r="E130" s="49" t="s">
        <v>17</v>
      </c>
      <c r="F130" s="49" t="str">
        <f>IF(D130="&gt;","Limit state not applicable","This procedure applies")</f>
        <v>Limit state not applicable</v>
      </c>
      <c r="G130" s="49"/>
      <c r="H130" s="49"/>
      <c r="I130" s="50"/>
      <c r="K130" s="4">
        <v>1</v>
      </c>
      <c r="L130" s="49" t="s">
        <v>14</v>
      </c>
      <c r="M130" s="49">
        <f>+IF(B130&gt;0,B139,V139)</f>
        <v>1.0333337082695091</v>
      </c>
      <c r="Q130" s="49" t="s">
        <v>16</v>
      </c>
      <c r="R130" s="4">
        <f>+C17*12-C42/2+C11</f>
        <v>25.5</v>
      </c>
      <c r="S130" s="4" t="s">
        <v>0</v>
      </c>
      <c r="U130" s="45" t="s">
        <v>16</v>
      </c>
      <c r="V130" s="49">
        <f>+C17*12-C42/2+C11+C17*12</f>
        <v>61.5</v>
      </c>
      <c r="W130" s="49" t="s">
        <v>16</v>
      </c>
      <c r="X130" s="4">
        <f>+C17*12-C42/2+C11+C17*12*0.866</f>
        <v>56.676000000000002</v>
      </c>
    </row>
    <row r="131" spans="1:24" ht="18" x14ac:dyDescent="0.35">
      <c r="A131" s="68" t="s">
        <v>58</v>
      </c>
      <c r="B131" s="79">
        <f>+C13*E129*1.6-1.6*0.15*C21*C22*C20/12+1.6*0.15*(C42)/12*(C42)/12*C20/12+1.6*2*U26*U27*C20/12*0.15</f>
        <v>2608.0366761200921</v>
      </c>
      <c r="C131" s="48" t="s">
        <v>18</v>
      </c>
      <c r="D131" s="49"/>
      <c r="E131" s="49"/>
      <c r="F131" s="49"/>
      <c r="G131" s="49"/>
      <c r="H131" s="49"/>
      <c r="I131" s="50"/>
      <c r="K131" s="4">
        <v>2</v>
      </c>
      <c r="L131" s="49" t="s">
        <v>14</v>
      </c>
      <c r="M131" s="49">
        <f>+IF(R130&gt;0,R139,X139)</f>
        <v>1.0333337082695091</v>
      </c>
      <c r="Q131" s="49" t="s">
        <v>13</v>
      </c>
      <c r="R131" s="49">
        <f>+C13*E129*1.6-1.6*0.15*C21*C22*C20/12+1.6*0.15*(C42)/12*(C42)/12*C20/12+1.6*2*U26*U27*C20/12*0.15</f>
        <v>2608.0366761200921</v>
      </c>
      <c r="S131" s="49" t="s">
        <v>8</v>
      </c>
      <c r="T131" s="49"/>
      <c r="U131" s="45" t="s">
        <v>13</v>
      </c>
      <c r="V131" s="49">
        <f>+C13*(E129-2)*1.6-1.6*0.15*C21*C22*C20/12+1.6*0.15*(C42)/12*(C42)/12*C20/12</f>
        <v>2335.50578</v>
      </c>
      <c r="W131" s="49" t="s">
        <v>13</v>
      </c>
      <c r="X131" s="49">
        <f>+C13*(E129-2)*1.6-1.6*0.15*C21*C22*C20/12+1.6*0.15*(C42)/12*(C42)/12*C20/12</f>
        <v>2335.50578</v>
      </c>
    </row>
    <row r="132" spans="1:24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5" t="s">
        <v>3</v>
      </c>
      <c r="V132" s="49">
        <f>4*(C9*1000)^0.5</f>
        <v>219.08902300206645</v>
      </c>
      <c r="W132" s="49" t="s">
        <v>3</v>
      </c>
      <c r="X132" s="49">
        <f>+B132</f>
        <v>219.08902300206645</v>
      </c>
    </row>
    <row r="133" spans="1:24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4</v>
      </c>
      <c r="V133" s="49">
        <f>+V132*8</f>
        <v>1752.7121840165316</v>
      </c>
      <c r="W133" s="49" t="s">
        <v>4</v>
      </c>
      <c r="X133" s="49">
        <f>+X132*8</f>
        <v>1752.7121840165316</v>
      </c>
    </row>
    <row r="134" spans="1:24" ht="18" x14ac:dyDescent="0.35">
      <c r="A134" s="68" t="s">
        <v>11</v>
      </c>
      <c r="B134" s="58">
        <f>4*(B127+C42)</f>
        <v>300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300</v>
      </c>
      <c r="S134" s="49" t="s">
        <v>0</v>
      </c>
      <c r="T134" s="49"/>
      <c r="U134" s="45" t="s">
        <v>11</v>
      </c>
      <c r="V134" s="49">
        <f>4*(B127+C42)</f>
        <v>300</v>
      </c>
      <c r="W134" s="49" t="s">
        <v>11</v>
      </c>
      <c r="X134" s="49">
        <f>+B134</f>
        <v>300</v>
      </c>
    </row>
    <row r="135" spans="1:24" ht="18" x14ac:dyDescent="0.35">
      <c r="A135" s="68" t="s">
        <v>2</v>
      </c>
      <c r="B135" s="58">
        <f>4*C42</f>
        <v>108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572.7817594825267</v>
      </c>
      <c r="P135" s="4" t="s">
        <v>5</v>
      </c>
      <c r="Q135" s="49" t="s">
        <v>2</v>
      </c>
      <c r="R135" s="49">
        <f>+B135</f>
        <v>108</v>
      </c>
      <c r="S135" s="49" t="s">
        <v>0</v>
      </c>
      <c r="T135" s="49"/>
      <c r="U135" s="45" t="s">
        <v>2</v>
      </c>
      <c r="V135" s="49">
        <f>4*C42</f>
        <v>108</v>
      </c>
      <c r="W135" s="49" t="s">
        <v>2</v>
      </c>
      <c r="X135" s="49">
        <f>+B135</f>
        <v>108</v>
      </c>
    </row>
    <row r="136" spans="1:24" x14ac:dyDescent="0.25">
      <c r="A136" s="68" t="s">
        <v>6</v>
      </c>
      <c r="B136" s="58">
        <f>IF(2*B127/B130*(1+B127/C42)&lt;32,2*B127/B130*(1+B127/C42),32)</f>
        <v>10.457516339869281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10.457516339869281</v>
      </c>
      <c r="S136" s="49"/>
      <c r="T136" s="49"/>
      <c r="U136" s="45" t="s">
        <v>6</v>
      </c>
      <c r="V136" s="49">
        <f>IF(2*B127/V130*(1+B127/C42)&lt;32,2*B127/V130*(1+B127/C42),32)</f>
        <v>4.3360433604336039</v>
      </c>
      <c r="W136" s="49" t="s">
        <v>6</v>
      </c>
      <c r="X136" s="49">
        <f>IF(2*B127/X130*(1+B127/C42)&lt;32,2*B127/X130*(1+B127/C42),32)</f>
        <v>4.7051073940762693</v>
      </c>
    </row>
    <row r="137" spans="1:24" ht="18.75" x14ac:dyDescent="0.35">
      <c r="A137" s="68" t="s">
        <v>7</v>
      </c>
      <c r="B137" s="79">
        <f>+B136*(C9*1000)^0.5*B135*B127/1000</f>
        <v>2969.3006411574183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10.457516339869281</v>
      </c>
      <c r="Q137" s="49" t="s">
        <v>7</v>
      </c>
      <c r="R137" s="49">
        <f>+R136*(C9*1000)^0.5*R135*B127/1000</f>
        <v>2969.3006411574183</v>
      </c>
      <c r="S137" s="49" t="s">
        <v>8</v>
      </c>
      <c r="T137" s="49"/>
      <c r="U137" s="45" t="s">
        <v>7</v>
      </c>
      <c r="V137" s="49">
        <f>+V136*(C9*1000)^0.5*V135*B127/1000</f>
        <v>1231.1734365774662</v>
      </c>
      <c r="W137" s="49" t="s">
        <v>7</v>
      </c>
      <c r="X137" s="49">
        <f>+X136*(C9*1000)^0.5*X135*B127/1000</f>
        <v>1335.9652471860074</v>
      </c>
    </row>
    <row r="138" spans="1:24" ht="18" x14ac:dyDescent="0.35">
      <c r="A138" s="68" t="s">
        <v>12</v>
      </c>
      <c r="B138" s="79">
        <f>+B137*0.85</f>
        <v>2523.9055449838056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2969.3006411574183</v>
      </c>
      <c r="Q138" s="49" t="s">
        <v>12</v>
      </c>
      <c r="R138" s="49">
        <f>+R137*0.85</f>
        <v>2523.9055449838056</v>
      </c>
      <c r="S138" s="49" t="s">
        <v>8</v>
      </c>
      <c r="T138" s="49"/>
      <c r="U138" s="45" t="s">
        <v>12</v>
      </c>
      <c r="V138" s="49">
        <f>+V137*0.85</f>
        <v>1046.4974210908463</v>
      </c>
      <c r="W138" s="49" t="s">
        <v>12</v>
      </c>
      <c r="X138" s="49">
        <f>+X137*0.85</f>
        <v>1135.5704601081063</v>
      </c>
    </row>
    <row r="139" spans="1:24" ht="18" x14ac:dyDescent="0.35">
      <c r="A139" s="68" t="s">
        <v>14</v>
      </c>
      <c r="B139" s="74">
        <f>+B131/B138</f>
        <v>1.0333337082695091</v>
      </c>
      <c r="C139" s="48"/>
      <c r="D139" s="110"/>
      <c r="H139" s="49"/>
      <c r="I139" s="50"/>
      <c r="K139" s="4">
        <f>+R131/K138</f>
        <v>0.87833365202908276</v>
      </c>
      <c r="Q139" s="49" t="s">
        <v>14</v>
      </c>
      <c r="R139" s="49">
        <f>+R131/R138</f>
        <v>1.0333337082695091</v>
      </c>
      <c r="S139" s="49"/>
      <c r="T139" s="49"/>
      <c r="U139" s="45" t="s">
        <v>14</v>
      </c>
      <c r="V139" s="49">
        <f>+V131/V138</f>
        <v>2.2317358198222021</v>
      </c>
      <c r="W139" s="49" t="s">
        <v>14</v>
      </c>
      <c r="X139" s="49">
        <f>+X131/X138</f>
        <v>2.0566806394185879</v>
      </c>
    </row>
    <row r="140" spans="1:24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4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4" ht="18.75" x14ac:dyDescent="0.3">
      <c r="A142" s="94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4" x14ac:dyDescent="0.25">
      <c r="A143" s="68" t="s">
        <v>1</v>
      </c>
      <c r="B143" s="53">
        <f>+C20-C14-C15-P21/2</f>
        <v>48.295000000000002</v>
      </c>
      <c r="C143" s="48" t="s">
        <v>0</v>
      </c>
      <c r="D143" s="49"/>
      <c r="E143" s="49"/>
      <c r="F143" s="49"/>
      <c r="G143" s="49"/>
      <c r="H143" s="49"/>
      <c r="I143" s="50"/>
      <c r="L143" s="4" t="s">
        <v>83</v>
      </c>
      <c r="O143" s="4">
        <f>+B150/2*B100</f>
        <v>547.72255750516615</v>
      </c>
      <c r="P143" s="4" t="s">
        <v>5</v>
      </c>
    </row>
    <row r="144" spans="1:24" x14ac:dyDescent="0.25">
      <c r="A144" s="68" t="s">
        <v>64</v>
      </c>
      <c r="B144" s="58">
        <f>+C17*12/2-C42/2+C11</f>
        <v>7.5</v>
      </c>
      <c r="C144" s="48" t="s">
        <v>0</v>
      </c>
      <c r="D144" s="80"/>
      <c r="E144" s="49"/>
      <c r="F144" s="49"/>
      <c r="G144" s="49"/>
      <c r="H144" s="49"/>
      <c r="I144" s="50"/>
      <c r="L144" s="45" t="s">
        <v>64</v>
      </c>
      <c r="M144" s="80">
        <f>+C17*12/2-C42/2+C11+C17*12/2</f>
        <v>25.5</v>
      </c>
      <c r="N144" s="49" t="s">
        <v>0</v>
      </c>
    </row>
    <row r="145" spans="1:16" x14ac:dyDescent="0.25">
      <c r="A145" s="68" t="s">
        <v>65</v>
      </c>
      <c r="B145" s="58">
        <f>MAX(B144/B143,0)</f>
        <v>0.15529557925251061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  <c r="L145" s="45" t="s">
        <v>65</v>
      </c>
      <c r="M145" s="80">
        <f>MAX(M144/B143,0)</f>
        <v>0.52800496945853603</v>
      </c>
      <c r="N145" s="49"/>
    </row>
    <row r="146" spans="1:16" ht="18" x14ac:dyDescent="0.35">
      <c r="A146" s="68" t="s">
        <v>58</v>
      </c>
      <c r="B146" s="79">
        <f>10*1.6*C13-1.6*0.15*C21*C22*C20/12*((C21/2-C42/2/12)/C21)+1.6*U26*U27*C20/12*0.15</f>
        <v>1190.9553680600461</v>
      </c>
      <c r="C146" s="48" t="s">
        <v>18</v>
      </c>
      <c r="D146" s="80"/>
      <c r="E146" s="49"/>
      <c r="F146" s="80"/>
      <c r="G146" s="49"/>
      <c r="H146" s="49"/>
      <c r="I146" s="50"/>
      <c r="L146" s="45" t="s">
        <v>58</v>
      </c>
      <c r="M146" s="49">
        <f>8*1.6*C13-1.6*0.15*C21*C22*C20/12*((C21/2-C42/2/12)/C21)+1.6*U26*U27*C20/12*0.15</f>
        <v>934.95536806004623</v>
      </c>
      <c r="N146" s="49" t="s">
        <v>8</v>
      </c>
    </row>
    <row r="147" spans="1:16" ht="18" x14ac:dyDescent="0.35">
      <c r="A147" s="68" t="s">
        <v>26</v>
      </c>
      <c r="B147" s="79">
        <f>1.6*C13*(2*B144)+1.6*C13*(3*(B144+0.5*C17*12))+1.6*C13*(2*(B144+1*C17*12))+1.6*C13*(3*(B144+1.5*C17*12))-1.6*0.15*C21*C22*C20/12*((C21/2-C42/2/12)/C21)*(C21/2-C42/2/12)*12/2+1.6*U26*U27*C20/12*0.15*(C21*12/2-U26*12/3)</f>
        <v>43539.88960580845</v>
      </c>
      <c r="C147" s="48" t="s">
        <v>27</v>
      </c>
      <c r="D147" s="80"/>
      <c r="E147" s="49"/>
      <c r="F147" s="80"/>
      <c r="G147" s="49"/>
      <c r="H147" s="49"/>
      <c r="I147" s="50"/>
      <c r="L147" s="45" t="s">
        <v>26</v>
      </c>
      <c r="M147" s="49">
        <f>1.6*C13*(3*(M144))+1.6*C13*(2*(M144+0.5*C17*12))+1.6*C13*(3*(M144+1*C17*12))-1.6*0.15*C21*C22*C20/12*((C21/2-C42/2/12)/C21)*(C21/2-C42/2/12)*12/2+1.6*U26*U27*C20/12*0.15*(C21*12/2-U26*12/3)</f>
        <v>41619.88960580845</v>
      </c>
      <c r="N147" s="49" t="s">
        <v>27</v>
      </c>
    </row>
    <row r="148" spans="1:16" ht="18" x14ac:dyDescent="0.35">
      <c r="A148" s="68" t="s">
        <v>66</v>
      </c>
      <c r="B148" s="58">
        <f>+B146*B143/B147</f>
        <v>1.3210228602138401</v>
      </c>
      <c r="C148" s="48"/>
      <c r="D148" s="80"/>
      <c r="E148" s="80"/>
      <c r="F148" s="80"/>
      <c r="G148" s="49"/>
      <c r="H148" s="49"/>
      <c r="I148" s="50"/>
      <c r="L148" s="45" t="s">
        <v>66</v>
      </c>
      <c r="M148" s="80">
        <f>+M146*B143/M147</f>
        <v>1.0849060371884867</v>
      </c>
      <c r="N148" s="80"/>
    </row>
    <row r="149" spans="1:16" ht="18" x14ac:dyDescent="0.35">
      <c r="A149" s="68" t="s">
        <v>447</v>
      </c>
      <c r="B149" s="58">
        <f>1/B148</f>
        <v>0.75698917113222808</v>
      </c>
      <c r="C149" s="48"/>
      <c r="D149" s="80"/>
      <c r="E149" s="80"/>
      <c r="F149" s="80"/>
      <c r="G149" s="49"/>
      <c r="H149" s="49"/>
      <c r="I149" s="50"/>
      <c r="L149" s="45" t="s">
        <v>67</v>
      </c>
      <c r="M149" s="80">
        <f>1/M148</f>
        <v>0.92173881029501958</v>
      </c>
      <c r="N149" s="8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  <c r="L150" s="45" t="s">
        <v>6</v>
      </c>
      <c r="M150" s="80">
        <f>+MIN(1/M145*(3.5-2.5*M149)*(1.9+0.1*M148),10)</f>
        <v>4.5481726556045459</v>
      </c>
      <c r="N150" s="80"/>
    </row>
    <row r="151" spans="1:16" ht="18" x14ac:dyDescent="0.35">
      <c r="A151" s="68" t="s">
        <v>12</v>
      </c>
      <c r="B151" s="79">
        <f>0.85*B150*(C9*1000)^0.5/1000*C22*12*B143</f>
        <v>3695.3596879765341</v>
      </c>
      <c r="C151" s="48" t="s">
        <v>18</v>
      </c>
      <c r="D151" s="49"/>
      <c r="E151" s="49"/>
      <c r="F151" s="49"/>
      <c r="G151" s="49"/>
      <c r="H151" s="49"/>
      <c r="I151" s="50"/>
      <c r="L151" s="45" t="s">
        <v>12</v>
      </c>
      <c r="M151" s="49">
        <f>0.85*M150*(C9*1000)^0.5/1000*C22*12*B143</f>
        <v>1680.7133885478218</v>
      </c>
      <c r="N151" s="49" t="s">
        <v>8</v>
      </c>
    </row>
    <row r="152" spans="1:16" ht="18" x14ac:dyDescent="0.35">
      <c r="A152" s="68" t="s">
        <v>14</v>
      </c>
      <c r="B152" s="74">
        <f>+B146/B151</f>
        <v>0.32228401796312739</v>
      </c>
      <c r="C152" s="48"/>
      <c r="D152" s="110" t="s">
        <v>282</v>
      </c>
      <c r="F152" s="4" t="s">
        <v>14</v>
      </c>
      <c r="G152" s="88">
        <f>+IF(B144&gt;0,B152,M152)</f>
        <v>0.32228401796312739</v>
      </c>
      <c r="H152" s="49"/>
      <c r="I152" s="50"/>
      <c r="L152" s="45" t="s">
        <v>14</v>
      </c>
      <c r="M152" s="49">
        <f>+M146/M151</f>
        <v>0.55628483382753968</v>
      </c>
      <c r="N152" s="49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46.885000000000005</v>
      </c>
      <c r="C156" s="48" t="s">
        <v>0</v>
      </c>
      <c r="D156" s="49"/>
      <c r="E156" s="49"/>
      <c r="F156" s="49"/>
      <c r="G156" s="49"/>
      <c r="H156" s="49"/>
      <c r="I156" s="50"/>
      <c r="L156" s="4" t="s">
        <v>83</v>
      </c>
      <c r="O156" s="4">
        <f>+B163/2*B111</f>
        <v>277.3479788311314</v>
      </c>
      <c r="P156" s="4" t="s">
        <v>5</v>
      </c>
    </row>
    <row r="157" spans="1:16" x14ac:dyDescent="0.25">
      <c r="A157" s="68" t="s">
        <v>64</v>
      </c>
      <c r="B157" s="55">
        <f>+C17*12-C42/2+C11</f>
        <v>25.5</v>
      </c>
      <c r="C157" s="48" t="s">
        <v>0</v>
      </c>
      <c r="D157" s="80"/>
      <c r="E157" s="49"/>
      <c r="F157" s="49"/>
      <c r="G157" s="49"/>
      <c r="H157" s="49"/>
      <c r="I157" s="50"/>
      <c r="L157" s="45" t="s">
        <v>64</v>
      </c>
      <c r="M157" s="80">
        <f>+C17*12-C42/2+C11+C17*12*0.866</f>
        <v>56.676000000000002</v>
      </c>
      <c r="N157" s="49" t="s">
        <v>0</v>
      </c>
    </row>
    <row r="158" spans="1:16" x14ac:dyDescent="0.25">
      <c r="A158" s="68" t="s">
        <v>65</v>
      </c>
      <c r="B158" s="58">
        <f>MAX(B157/B156,0)</f>
        <v>0.54388397141943046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  <c r="L158" s="45" t="s">
        <v>65</v>
      </c>
      <c r="M158" s="80">
        <f>MAX(M157/B156,0)</f>
        <v>1.2088301162418682</v>
      </c>
      <c r="N158" s="49"/>
    </row>
    <row r="159" spans="1:16" ht="18" x14ac:dyDescent="0.35">
      <c r="A159" s="68" t="s">
        <v>58</v>
      </c>
      <c r="B159" s="79">
        <f>9*1.6*C13-1.6*0.15*C21*C22*C20/12*((C22/2-C42/2/12)/C22)+1.6*U26*U27*C20/12*0.15</f>
        <v>1064.004588060046</v>
      </c>
      <c r="C159" s="48" t="s">
        <v>18</v>
      </c>
      <c r="D159" s="80"/>
      <c r="E159" s="49"/>
      <c r="F159" s="80"/>
      <c r="G159" s="49"/>
      <c r="H159" s="49"/>
      <c r="I159" s="50"/>
      <c r="L159" s="45" t="s">
        <v>58</v>
      </c>
      <c r="M159" s="49">
        <f>4*1.6*C13-1.6*0.15*C21*C22*C20/12*((C22/2-C42/2/12)/C22)</f>
        <v>415.73914000000002</v>
      </c>
      <c r="N159" s="49" t="s">
        <v>8</v>
      </c>
    </row>
    <row r="160" spans="1:16" ht="18" x14ac:dyDescent="0.35">
      <c r="A160" s="68" t="s">
        <v>26</v>
      </c>
      <c r="B160" s="79">
        <f>1.6*C13*(5*B157)+1.6*C13*(4*(B157+0.866*C17*12))-1.6*0.15*C21*C22*C20/12*((C22/2-C42/2/12)/C22)*(C22/2-C42/2/12)*12/2+1.6*U26*U27*C20/12*0.15*(C22*12/2-U27*12/3)</f>
        <v>42595.781972962592</v>
      </c>
      <c r="C160" s="48" t="s">
        <v>27</v>
      </c>
      <c r="D160" s="80"/>
      <c r="E160" s="49"/>
      <c r="F160" s="80"/>
      <c r="G160" s="49"/>
      <c r="H160" s="49"/>
      <c r="I160" s="50"/>
      <c r="L160" s="45" t="s">
        <v>26</v>
      </c>
      <c r="M160" s="49">
        <f>1.6*C13*(4*(M157))-1.6*0.15*C21*C22*C20/12*((C22/2-C42/2/12)/C22)*(C22/2-C42/2/12)*12/2</f>
        <v>25712.706589320002</v>
      </c>
      <c r="N160" s="49" t="s">
        <v>27</v>
      </c>
    </row>
    <row r="161" spans="1:32" ht="18" x14ac:dyDescent="0.35">
      <c r="A161" s="68" t="s">
        <v>66</v>
      </c>
      <c r="B161" s="58">
        <f>+B159*B156/B160</f>
        <v>1.1711454233393344</v>
      </c>
      <c r="C161" s="48"/>
      <c r="D161" s="80"/>
      <c r="E161" s="80"/>
      <c r="F161" s="80"/>
      <c r="G161" s="49"/>
      <c r="H161" s="49"/>
      <c r="I161" s="50"/>
      <c r="L161" s="45" t="s">
        <v>66</v>
      </c>
      <c r="M161" s="80">
        <f>+M159*B156/M160</f>
        <v>0.75806603677405737</v>
      </c>
      <c r="N161" s="80"/>
    </row>
    <row r="162" spans="1:32" ht="18" x14ac:dyDescent="0.35">
      <c r="A162" s="68" t="s">
        <v>447</v>
      </c>
      <c r="B162" s="58">
        <f>1/B161</f>
        <v>0.85386492579944473</v>
      </c>
      <c r="C162" s="48"/>
      <c r="D162" s="80"/>
      <c r="E162" s="80"/>
      <c r="F162" s="80"/>
      <c r="G162" s="49"/>
      <c r="H162" s="49"/>
      <c r="I162" s="50"/>
      <c r="L162" s="45" t="s">
        <v>67</v>
      </c>
      <c r="M162" s="80">
        <f>1/M161</f>
        <v>1.3191462900191258</v>
      </c>
      <c r="N162" s="80"/>
    </row>
    <row r="163" spans="1:32" x14ac:dyDescent="0.25">
      <c r="A163" s="68" t="s">
        <v>6</v>
      </c>
      <c r="B163" s="58">
        <f>+MIN(1/B158*(3.5-2.5*B162)*(1.9+0.1*B161),10)</f>
        <v>5.0636581428091985</v>
      </c>
      <c r="C163" s="48"/>
      <c r="D163" s="80"/>
      <c r="E163" s="80"/>
      <c r="F163" s="49"/>
      <c r="G163" s="49"/>
      <c r="H163" s="49"/>
      <c r="I163" s="50"/>
      <c r="L163" s="45" t="s">
        <v>6</v>
      </c>
      <c r="M163" s="80">
        <f>+MIN(1/M158*(3.5-2.5*M162)*(1.9+0.1*M161),10)</f>
        <v>0.33038408781682199</v>
      </c>
      <c r="N163" s="80"/>
    </row>
    <row r="164" spans="1:32" ht="18" x14ac:dyDescent="0.35">
      <c r="A164" s="68" t="s">
        <v>12</v>
      </c>
      <c r="B164" s="79">
        <f>0.85*B163*(C9*1000)^0.5/1000*C21*12*B156</f>
        <v>1923.2117321508945</v>
      </c>
      <c r="C164" s="48" t="s">
        <v>18</v>
      </c>
      <c r="D164" s="49"/>
      <c r="E164" s="49"/>
      <c r="F164" s="49"/>
      <c r="G164" s="49"/>
      <c r="H164" s="49"/>
      <c r="I164" s="50"/>
      <c r="L164" s="45" t="s">
        <v>12</v>
      </c>
      <c r="M164" s="49">
        <f>0.85*M163*(C9*1000)^0.5/1000*C21*12*B156</f>
        <v>125.48211903040897</v>
      </c>
      <c r="N164" s="49" t="s">
        <v>8</v>
      </c>
    </row>
    <row r="165" spans="1:32" ht="18" x14ac:dyDescent="0.35">
      <c r="A165" s="68" t="s">
        <v>14</v>
      </c>
      <c r="B165" s="74">
        <f>+B159/B164</f>
        <v>0.55324360301716613</v>
      </c>
      <c r="C165" s="49"/>
      <c r="D165" s="110" t="s">
        <v>282</v>
      </c>
      <c r="F165" s="4" t="s">
        <v>14</v>
      </c>
      <c r="G165" s="88">
        <f>+IF(B157&gt;0,B165,M165)</f>
        <v>0.55324360301716613</v>
      </c>
      <c r="H165" s="49"/>
      <c r="I165" s="50"/>
      <c r="L165" s="45" t="s">
        <v>14</v>
      </c>
      <c r="M165" s="49">
        <f>+M159/M164</f>
        <v>3.3131345183870464</v>
      </c>
      <c r="N165" s="49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48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+C22*C21*C20/12/27-2*U26*U27*C20/12/27</f>
        <v>32.99935553702278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24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56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8444.3520000000008</v>
      </c>
      <c r="U171" s="4" t="s">
        <v>35</v>
      </c>
    </row>
    <row r="172" spans="1:32" ht="18.75" x14ac:dyDescent="0.35">
      <c r="A172" s="45"/>
      <c r="B172" s="53">
        <f>+C65</f>
        <v>17</v>
      </c>
      <c r="C172" s="48" t="s">
        <v>71</v>
      </c>
      <c r="D172" s="83" t="str">
        <f>"#"&amp;+C23</f>
        <v>#11</v>
      </c>
      <c r="E172" s="49" t="s">
        <v>72</v>
      </c>
      <c r="F172" s="49" t="s">
        <v>73</v>
      </c>
      <c r="G172" s="57">
        <f>+C22-0.5</f>
        <v>13.196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12.808523640679853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1.7281312499999999</v>
      </c>
      <c r="H173" s="48" t="s">
        <v>74</v>
      </c>
      <c r="I173" s="50"/>
      <c r="Q173" s="4" t="s">
        <v>7</v>
      </c>
      <c r="R173" s="4">
        <f>+R172*T171/1000</f>
        <v>1850.064829565546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1191.9008080890312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1572.5551051307141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108.15968222222222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17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14</v>
      </c>
      <c r="H176" s="48" t="s">
        <v>74</v>
      </c>
      <c r="I176" s="50"/>
      <c r="Q176" s="4" t="s">
        <v>14</v>
      </c>
      <c r="R176" s="4">
        <f>+R175/R174</f>
        <v>6.8779581630770109E-2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1264.520408703125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48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2456.421216792156</v>
      </c>
      <c r="D180" s="48" t="s">
        <v>78</v>
      </c>
      <c r="E180" s="49" t="s">
        <v>79</v>
      </c>
      <c r="F180" s="88">
        <f>+C180/2000</f>
        <v>1.228210608396078</v>
      </c>
      <c r="G180" s="48" t="s">
        <v>19</v>
      </c>
      <c r="H180" s="49"/>
      <c r="I180" s="50"/>
      <c r="Q180" s="4" t="s">
        <v>54</v>
      </c>
      <c r="T180" s="4">
        <f>+T179/2</f>
        <v>24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175.92400000000001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11900.352000000001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18.480098926672269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2607.2364930606877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2216.1510191015846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219.91968222222221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9.9234971049660878E-2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48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24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73.980999999999995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3551.0879999999997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32.232587277163759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778.00440051436215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661.30374043720781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114.46075388888889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0.17308348174957461</v>
      </c>
      <c r="T199" s="4" t="s">
        <v>146</v>
      </c>
      <c r="V199" s="4">
        <f>+(C18*C18+C18*T170+3.1415*T170^2/4/4)/144</f>
        <v>11.671763888888888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48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76.425999999999988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3668.4479999999994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31.685670503197095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401.85834412694226</v>
      </c>
      <c r="S207" s="4" t="s">
        <v>8</v>
      </c>
      <c r="T207" s="4" t="s">
        <v>93</v>
      </c>
    </row>
    <row r="208" spans="1:58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341.57959250790088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116.23723458611236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0.34029326439759056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6" man="1"/>
    <brk id="84" max="36" man="1"/>
    <brk id="125" max="36" man="1"/>
    <brk id="166" max="36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274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80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160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10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v>55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18.678525000000004</v>
      </c>
    </row>
    <row r="20" spans="1:17" ht="18" x14ac:dyDescent="0.35">
      <c r="A20" s="45"/>
      <c r="B20" s="46" t="s">
        <v>425</v>
      </c>
      <c r="C20" s="56">
        <v>66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17" x14ac:dyDescent="0.25">
      <c r="A21" s="45"/>
      <c r="B21" s="46" t="s">
        <v>426</v>
      </c>
      <c r="C21" s="53">
        <f>2*C18/12+4*C17</f>
        <v>15.5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1.27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2*C18/12+2*C17+C17*0.866*2</f>
        <v>14.696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1.2667313375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17" x14ac:dyDescent="0.25">
      <c r="A23" s="45"/>
      <c r="B23" s="46" t="s">
        <v>428</v>
      </c>
      <c r="C23" s="47">
        <v>10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54.955000000000005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56.295000000000002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56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11.283958068551208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10</v>
      </c>
    </row>
    <row r="30" spans="1:17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56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28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66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11610.984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19.34719540135444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2543.8391406526257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2162.2632695547318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224.63997624999999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1.6*24*C13-1.6*C21*C22*C20/12*0.15</f>
        <v>5843.319840000001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0.10389113084100042</v>
      </c>
    </row>
    <row r="41" spans="1:25" x14ac:dyDescent="0.25">
      <c r="A41" s="45"/>
      <c r="B41" s="46" t="s">
        <v>433</v>
      </c>
      <c r="C41" s="58">
        <f>+(C40/4)^0.5</f>
        <v>38.22080532903513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39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1.6*C13*(5*(0.866*C17*12+C11-C42/4))+1.6*C13*(5*(1.866*C17*12+C11-C42/4))-1.6*(C22/2-C42/12/4)*C21*C20/12*0.15*(C22/2-C42/12/4)*12/2</f>
        <v>103367.14155171002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6668.8478420458077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54.955000000000005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2.3526989413006945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36.466833590160761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48.622444786881012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27.993086627357656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34.072100000000006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34.072100000000006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22.096799999999998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36.466833590160761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1.0547087642896027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0.97337395681547212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11.915333333333333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37.437801076135365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3.6349999999999998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37.437801076135365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3.6349999999999998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3.6349999999999998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41.736458881893654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65.676000000000002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29.554649804450239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16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41.736458881893654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65.676000000000002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1.6*C13*(1*(0.5*C17*12+C11-C42/4))+1.6*C13*(4*(C17*12+C11-C42/4))+1.6*C13*(1*(1.5*C17*12+C11-C42/4))+1.6*C13*(4*(2*C17*12+C11-C42/4))-1.6*(C21/2-C42/12/4)*C22*C20/12*0.15*(C21/2-C42/12/4)*12/2</f>
        <v>106142.16494249999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7222.5207500340221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56.295000000000002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2.4908507596539167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11.2628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36.605542763873956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48.807390351831941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3.7050000000000001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27.18822432260249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33.092452799999997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33.092452799999997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20.950617599999998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36.605542763873956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3.7050000000000001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46.337328364937051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46.337328364937051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70.5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8" ht="18" x14ac:dyDescent="0.35">
      <c r="A81" s="45"/>
      <c r="B81" s="112" t="s">
        <v>214</v>
      </c>
      <c r="C81" s="58">
        <f>+M80</f>
        <v>70.5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8" x14ac:dyDescent="0.25">
      <c r="A82" s="45"/>
      <c r="B82" s="46" t="s">
        <v>443</v>
      </c>
      <c r="C82" s="78">
        <f>+C78/P22</f>
        <v>23.443991359522762</v>
      </c>
      <c r="D82" s="48"/>
      <c r="E82" s="49"/>
      <c r="F82" s="49"/>
      <c r="G82" s="49"/>
      <c r="H82" s="49"/>
      <c r="I82" s="50"/>
    </row>
    <row r="83" spans="1:18" x14ac:dyDescent="0.25">
      <c r="A83" s="45"/>
      <c r="B83" s="46" t="s">
        <v>444</v>
      </c>
      <c r="C83" s="56">
        <v>16</v>
      </c>
      <c r="D83" s="48"/>
      <c r="E83" s="49"/>
      <c r="F83" s="49"/>
      <c r="G83" s="49"/>
      <c r="H83" s="49"/>
      <c r="I83" s="50"/>
    </row>
    <row r="84" spans="1:18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8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8" x14ac:dyDescent="0.25">
      <c r="A86" s="68" t="s">
        <v>1</v>
      </c>
      <c r="B86" s="53">
        <f>+C20-C14-C15-1</f>
        <v>56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47.5</v>
      </c>
      <c r="N86" s="4" t="s">
        <v>0</v>
      </c>
      <c r="O86" s="64"/>
      <c r="P86" s="64"/>
    </row>
    <row r="87" spans="1:18" x14ac:dyDescent="0.25">
      <c r="A87" s="68" t="s">
        <v>54</v>
      </c>
      <c r="B87" s="54">
        <f>+B86/2</f>
        <v>28</v>
      </c>
      <c r="C87" s="48" t="s">
        <v>0</v>
      </c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0.866*C17*12+C11</f>
        <v>34.176000000000002</v>
      </c>
      <c r="P87" s="4" t="s">
        <v>0</v>
      </c>
      <c r="Q87" s="4" t="s">
        <v>120</v>
      </c>
    </row>
    <row r="88" spans="1:18" x14ac:dyDescent="0.25">
      <c r="A88" s="99"/>
      <c r="B88" s="81"/>
      <c r="C88" s="48"/>
      <c r="D88" s="82" t="s">
        <v>445</v>
      </c>
      <c r="E88" s="83">
        <f>+IF(M86&gt;O92,0,IF(M86&gt;O88,8,IF(M86&gt;O91,14,IF(M86&gt;O90,16,IF(M86&gt;O87,20,IF(M86&gt;O89,22,24))))))</f>
        <v>16</v>
      </c>
      <c r="G88" s="49"/>
      <c r="H88" s="49"/>
      <c r="I88" s="50"/>
      <c r="J88" s="4" t="s">
        <v>273</v>
      </c>
      <c r="K88" s="64"/>
      <c r="L88" s="64"/>
      <c r="M88" s="64"/>
      <c r="N88" s="64"/>
      <c r="O88" s="64">
        <f>1.866*C17*12+C11</f>
        <v>70.176000000000016</v>
      </c>
      <c r="P88" s="4" t="s">
        <v>0</v>
      </c>
      <c r="Q88" s="4" t="s">
        <v>120</v>
      </c>
    </row>
    <row r="89" spans="1:18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57</v>
      </c>
      <c r="K89" s="64"/>
      <c r="L89" s="64"/>
      <c r="M89" s="64"/>
      <c r="N89" s="64"/>
      <c r="O89" s="64">
        <f>+C17*12/2+C11</f>
        <v>21</v>
      </c>
      <c r="P89" s="4" t="s">
        <v>0</v>
      </c>
      <c r="Q89" s="4" t="s">
        <v>120</v>
      </c>
    </row>
    <row r="90" spans="1:18" ht="18" x14ac:dyDescent="0.35">
      <c r="A90" s="68" t="s">
        <v>11</v>
      </c>
      <c r="B90" s="55">
        <f>4*(B86+C42)</f>
        <v>380</v>
      </c>
      <c r="C90" s="48" t="s">
        <v>0</v>
      </c>
      <c r="D90" s="49"/>
      <c r="E90" s="49"/>
      <c r="F90" s="49"/>
      <c r="G90" s="49"/>
      <c r="H90" s="49"/>
      <c r="I90" s="50"/>
      <c r="J90" s="4" t="s">
        <v>248</v>
      </c>
      <c r="K90" s="64"/>
      <c r="L90" s="64"/>
      <c r="M90" s="64"/>
      <c r="N90" s="64"/>
      <c r="O90" s="64">
        <f>+C17*12+C11</f>
        <v>39</v>
      </c>
      <c r="P90" s="4" t="s">
        <v>0</v>
      </c>
      <c r="Q90" s="4" t="s">
        <v>120</v>
      </c>
    </row>
    <row r="91" spans="1:18" ht="18.75" x14ac:dyDescent="0.35">
      <c r="A91" s="68" t="s">
        <v>7</v>
      </c>
      <c r="B91" s="79">
        <f>+B89*B90*B86/1000</f>
        <v>4662.2144094839741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275</v>
      </c>
      <c r="K91" s="64"/>
      <c r="L91" s="64"/>
      <c r="M91" s="64"/>
      <c r="N91" s="64"/>
      <c r="O91" s="64">
        <f>1.5*C17*12+C11</f>
        <v>57</v>
      </c>
      <c r="P91" s="4" t="s">
        <v>0</v>
      </c>
      <c r="Q91" s="4" t="s">
        <v>120</v>
      </c>
    </row>
    <row r="92" spans="1:18" ht="18" x14ac:dyDescent="0.35">
      <c r="A92" s="68" t="s">
        <v>12</v>
      </c>
      <c r="B92" s="79">
        <f>+B91*0.85</f>
        <v>3962.882248061378</v>
      </c>
      <c r="C92" s="48" t="s">
        <v>18</v>
      </c>
      <c r="D92" s="49"/>
      <c r="E92" s="49"/>
      <c r="F92" s="49"/>
      <c r="G92" s="49"/>
      <c r="H92" s="49"/>
      <c r="I92" s="50"/>
      <c r="J92" s="4" t="s">
        <v>276</v>
      </c>
      <c r="K92" s="64"/>
      <c r="L92" s="64"/>
      <c r="M92" s="64"/>
      <c r="N92" s="64"/>
      <c r="O92" s="64">
        <f>2*C17*12+C11</f>
        <v>75</v>
      </c>
      <c r="P92" s="4" t="s">
        <v>0</v>
      </c>
      <c r="Q92" s="4" t="s">
        <v>120</v>
      </c>
    </row>
    <row r="93" spans="1:18" ht="18" x14ac:dyDescent="0.35">
      <c r="A93" s="68" t="s">
        <v>58</v>
      </c>
      <c r="B93" s="79">
        <f>+E88*1.6*C13-1.6*0.15*C21*C22*C20/12+1.6*0.15*(2*M86)/12*(2*M86)/12*C20/12</f>
        <v>3878.0490066666666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8" ht="18" x14ac:dyDescent="0.35">
      <c r="A94" s="68" t="s">
        <v>14</v>
      </c>
      <c r="B94" s="74">
        <f>+B93/B92</f>
        <v>0.97859304514127021</v>
      </c>
      <c r="C94" s="48"/>
      <c r="D94" s="49"/>
      <c r="E94" s="49"/>
      <c r="F94" s="49"/>
      <c r="G94" s="49"/>
      <c r="H94" s="49"/>
      <c r="I94" s="50"/>
      <c r="N94" s="4" t="s">
        <v>83</v>
      </c>
      <c r="Q94" s="4">
        <f>+B89</f>
        <v>219.08902300206645</v>
      </c>
      <c r="R94" s="4" t="s">
        <v>5</v>
      </c>
    </row>
    <row r="95" spans="1:18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8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56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75.5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+IF(M98&gt;O102,0,IF(M98&gt;O101,4,IF(M98&gt;O100,5,IF(M98&gt;O99,9,10))))</f>
        <v>0</v>
      </c>
      <c r="G99" s="49"/>
      <c r="H99" s="49"/>
      <c r="I99" s="50"/>
      <c r="J99" s="4" t="s">
        <v>57</v>
      </c>
      <c r="K99" s="64"/>
      <c r="L99" s="64"/>
      <c r="M99" s="64"/>
      <c r="N99" s="64"/>
      <c r="O99" s="64">
        <f>+C17*12/2+C11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248</v>
      </c>
      <c r="K100" s="64"/>
      <c r="L100" s="64"/>
      <c r="M100" s="64"/>
      <c r="N100" s="64"/>
      <c r="O100" s="64">
        <f>+C17*12+C11</f>
        <v>39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9875.7119999999995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275</v>
      </c>
      <c r="K101" s="64"/>
      <c r="L101" s="64"/>
      <c r="M101" s="64"/>
      <c r="N101" s="64"/>
      <c r="O101" s="64">
        <f>1.5*C17*12+C11</f>
        <v>57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1081.8300467648919</v>
      </c>
      <c r="C102" s="48" t="s">
        <v>18</v>
      </c>
      <c r="D102" s="49" t="s">
        <v>63</v>
      </c>
      <c r="E102" s="49"/>
      <c r="F102" s="49"/>
      <c r="G102" s="49"/>
      <c r="H102" s="49"/>
      <c r="I102" s="50"/>
      <c r="J102" s="4" t="s">
        <v>276</v>
      </c>
      <c r="K102" s="64"/>
      <c r="L102" s="64"/>
      <c r="M102" s="64"/>
      <c r="N102" s="64"/>
      <c r="O102" s="64">
        <f>2*C17*12+C11</f>
        <v>75</v>
      </c>
      <c r="P102" s="4" t="s">
        <v>0</v>
      </c>
      <c r="Q102" s="4" t="s">
        <v>120</v>
      </c>
    </row>
    <row r="103" spans="1:17" ht="18" x14ac:dyDescent="0.35">
      <c r="A103" s="68" t="s">
        <v>12</v>
      </c>
      <c r="B103" s="79">
        <f>+B102*0.85</f>
        <v>919.55553975015812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-28.289799999999989</v>
      </c>
      <c r="C104" s="48" t="s">
        <v>18</v>
      </c>
      <c r="D104" s="49" t="s">
        <v>132</v>
      </c>
      <c r="E104" s="49"/>
      <c r="F104" s="49"/>
      <c r="G104" s="49"/>
      <c r="H104" s="49"/>
      <c r="I104" s="50"/>
      <c r="L104" s="4" t="s">
        <v>83</v>
      </c>
      <c r="O104" s="4">
        <f>+B100</f>
        <v>109.54451150103323</v>
      </c>
      <c r="P104" s="4" t="s">
        <v>5</v>
      </c>
    </row>
    <row r="105" spans="1:17" ht="18" x14ac:dyDescent="0.35">
      <c r="A105" s="68" t="s">
        <v>14</v>
      </c>
      <c r="B105" s="74">
        <f>+B104/B103</f>
        <v>-3.0764645284706005E-2</v>
      </c>
      <c r="C105" s="49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56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75.5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+IF(M109&gt;O111,0,IF(M109&gt;O110,5,10))</f>
        <v>0</v>
      </c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0.866*C17*12+C11</f>
        <v>34.176000000000002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273</v>
      </c>
      <c r="K111" s="64"/>
      <c r="L111" s="64"/>
      <c r="M111" s="64"/>
      <c r="N111" s="64"/>
      <c r="O111" s="64">
        <f>1.866*C17*12+C11</f>
        <v>70.176000000000016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+C21*12*B109</f>
        <v>10416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23" ht="18.75" x14ac:dyDescent="0.35">
      <c r="A113" s="68" t="s">
        <v>7</v>
      </c>
      <c r="B113" s="79">
        <f>+B111*B112/1000</f>
        <v>1141.0156317947622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969.86328702554783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-21.612579999999987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-2.2284151064510472E-2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8.0879999999999992</v>
      </c>
      <c r="W126" s="4" t="s">
        <v>0</v>
      </c>
    </row>
    <row r="127" spans="1:23" ht="18" x14ac:dyDescent="0.35">
      <c r="A127" s="68" t="s">
        <v>1</v>
      </c>
      <c r="B127" s="53">
        <f>+B86</f>
        <v>56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5857.2623400000002</v>
      </c>
      <c r="W127" s="49" t="s">
        <v>8</v>
      </c>
    </row>
    <row r="128" spans="1:23" ht="18.75" x14ac:dyDescent="0.35">
      <c r="A128" s="68" t="s">
        <v>54</v>
      </c>
      <c r="B128" s="54">
        <f>+B127/2</f>
        <v>28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24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1.5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+C17*12*0.866-C42/2+C11</f>
        <v>14.675999999999998</v>
      </c>
      <c r="S130" s="4" t="s">
        <v>0</v>
      </c>
      <c r="U130" s="49" t="s">
        <v>11</v>
      </c>
      <c r="V130" s="49">
        <f>+B134</f>
        <v>380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5857.2623400000002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</f>
        <v>5857.2623400000002</v>
      </c>
      <c r="S131" s="49" t="s">
        <v>8</v>
      </c>
      <c r="T131" s="49"/>
      <c r="U131" s="49" t="s">
        <v>2</v>
      </c>
      <c r="V131" s="49">
        <f>+B135</f>
        <v>156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32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15311.693639568421</v>
      </c>
      <c r="W133" s="49" t="s">
        <v>8</v>
      </c>
    </row>
    <row r="134" spans="1:23" ht="18" x14ac:dyDescent="0.35">
      <c r="A134" s="68" t="s">
        <v>11</v>
      </c>
      <c r="B134" s="58">
        <f>4*(B127+C42)</f>
        <v>380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380</v>
      </c>
      <c r="S134" s="49" t="s">
        <v>0</v>
      </c>
      <c r="T134" s="49"/>
      <c r="U134" s="45" t="s">
        <v>12</v>
      </c>
      <c r="V134" s="49">
        <f>+V133*0.85</f>
        <v>13014.939593633157</v>
      </c>
      <c r="W134" s="49" t="s">
        <v>8</v>
      </c>
    </row>
    <row r="135" spans="1:23" ht="18" x14ac:dyDescent="0.35">
      <c r="A135" s="68" t="s">
        <v>2</v>
      </c>
      <c r="B135" s="58">
        <f>4*C42</f>
        <v>156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156</v>
      </c>
      <c r="S135" s="49" t="s">
        <v>0</v>
      </c>
      <c r="T135" s="49"/>
      <c r="U135" s="45" t="s">
        <v>14</v>
      </c>
      <c r="V135" s="49">
        <f>+V127/V134</f>
        <v>0.45004145411979812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18.589568875750398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15311.693639568421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25.294784437875201</v>
      </c>
      <c r="Q137" s="49" t="s">
        <v>7</v>
      </c>
      <c r="R137" s="49">
        <f>+R136*(C9*1000)^0.5*R135*B127/1000</f>
        <v>8894.9307349108258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13014.939593633157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12103.312187239624</v>
      </c>
      <c r="Q138" s="49" t="s">
        <v>12</v>
      </c>
      <c r="R138" s="49">
        <f>+R137*0.85</f>
        <v>7560.691124674202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0.45004145411979812</v>
      </c>
      <c r="C139" s="48"/>
      <c r="D139" s="110" t="s">
        <v>235</v>
      </c>
      <c r="F139" s="4" t="s">
        <v>14</v>
      </c>
      <c r="G139" s="88">
        <f>+(B139+R139)/2</f>
        <v>0.61237039148970973</v>
      </c>
      <c r="H139" s="49"/>
      <c r="I139" s="50"/>
      <c r="K139" s="4">
        <f>+R131/K138</f>
        <v>0.48393879703237275</v>
      </c>
      <c r="Q139" s="49" t="s">
        <v>14</v>
      </c>
      <c r="R139" s="49">
        <f>+R131/R138</f>
        <v>0.77469932885962134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56.295000000000002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+C17*12/2-C42/2+C11</f>
        <v>1.5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2.664535038635758E-2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10*1.6*C13-1.6*0.15*C21*C22*C20/12*((C21/2-C42/2/12)/C21)</f>
        <v>2441.1828399999999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1.6*C13*(1*B144)+1.6*C13*(4*(B144+0.5*C17*12))+1.6*C13*(1*(B144+1*C17*12))+1.6*C13*(4*(B144+1.5*C17*12))-1.6*0.15*C21*C22*C20/12*((C21/2-C42/2/12)/C21)*(C21/2-C42/2/12)*12/2</f>
        <v>82417.469370000006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1.6674424612680874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0.59972084388417313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4621.9981348424244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0.52816612399676488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54.955000000000005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+C17*12*0.866-C42/2+C11</f>
        <v>14.675999999999998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0.26705486306978432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10*1.6*C13-1.6*0.15*C21*C22*C20/12*((C22/2-C42/2/12)/C22)</f>
        <v>2442.90742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1.6*C13*(5*B157)+1.6*C13*(5*(B157+C17*12))-1.6*0.15*C21*C22*C20/12*((C22/2-C42/2/12)/C22)*(C22/2-C42/2/12)*12/2</f>
        <v>79629.834987959999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1.6859255991978201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0.5931459848974413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4758.8247266508024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0.51334259198894383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56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46.401259259259255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28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66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11610.984</v>
      </c>
      <c r="U171" s="4" t="s">
        <v>35</v>
      </c>
    </row>
    <row r="172" spans="1:32" ht="18.75" x14ac:dyDescent="0.35">
      <c r="A172" s="45"/>
      <c r="B172" s="53">
        <f>+C65</f>
        <v>16</v>
      </c>
      <c r="C172" s="48" t="s">
        <v>71</v>
      </c>
      <c r="D172" s="83" t="str">
        <f>"#"&amp;+C23</f>
        <v>#10</v>
      </c>
      <c r="E172" s="49" t="s">
        <v>72</v>
      </c>
      <c r="F172" s="49" t="s">
        <v>73</v>
      </c>
      <c r="G172" s="57">
        <f>+C22-0.5</f>
        <v>14.196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19.34719540135444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1.5565437500000003</v>
      </c>
      <c r="H173" s="48" t="s">
        <v>74</v>
      </c>
      <c r="I173" s="50"/>
      <c r="Q173" s="4" t="s">
        <v>7</v>
      </c>
      <c r="R173" s="4">
        <f>+R172*T171/1000</f>
        <v>2543.8391406526257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979.04820587816664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2162.2632695547318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224.63997624999999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16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15</v>
      </c>
      <c r="H176" s="48" t="s">
        <v>74</v>
      </c>
      <c r="I176" s="50"/>
      <c r="Q176" s="4" t="s">
        <v>14</v>
      </c>
      <c r="R176" s="4">
        <f>+R175/R174</f>
        <v>0.10389113084100042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1275.1466306249999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56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2254.1948365031667</v>
      </c>
      <c r="D180" s="48" t="s">
        <v>78</v>
      </c>
      <c r="E180" s="49" t="s">
        <v>79</v>
      </c>
      <c r="F180" s="88">
        <f>+C180/2000</f>
        <v>1.1270974182515834</v>
      </c>
      <c r="G180" s="48" t="s">
        <v>19</v>
      </c>
      <c r="H180" s="49"/>
      <c r="I180" s="50"/>
      <c r="Q180" s="4" t="s">
        <v>54</v>
      </c>
      <c r="T180" s="4">
        <f>+T179/2</f>
        <v>28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207.339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15642.984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29.333276582652005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3427.2060813969574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2913.1251691874136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458.85997624999999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0.15751467911624076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56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28</v>
      </c>
      <c r="U192" s="4" t="s">
        <v>0</v>
      </c>
      <c r="W192" s="64"/>
    </row>
    <row r="193" spans="1:54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93.83475</v>
      </c>
      <c r="U193" s="4" t="s">
        <v>0</v>
      </c>
      <c r="V193" s="64"/>
      <c r="W193" s="64"/>
    </row>
    <row r="194" spans="1:54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5254.7460000000001</v>
      </c>
      <c r="U194" s="4" t="s">
        <v>35</v>
      </c>
    </row>
    <row r="195" spans="1:54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44.038759259248685</v>
      </c>
      <c r="AF195" s="4" t="s">
        <v>5</v>
      </c>
    </row>
    <row r="196" spans="1:54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1151.2571672640167</v>
      </c>
      <c r="S196" s="4" t="s">
        <v>8</v>
      </c>
      <c r="T196" s="4" t="s">
        <v>87</v>
      </c>
    </row>
    <row r="197" spans="1:54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978.56859217441422</v>
      </c>
      <c r="S197" s="4" t="s">
        <v>8</v>
      </c>
    </row>
    <row r="198" spans="1:54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231.4124940625</v>
      </c>
      <c r="S198" s="4" t="s">
        <v>8</v>
      </c>
      <c r="T198" s="4" t="s">
        <v>350</v>
      </c>
    </row>
    <row r="199" spans="1:54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0.23648060638068633</v>
      </c>
      <c r="T199" s="4" t="s">
        <v>146</v>
      </c>
      <c r="V199" s="4">
        <f>+(C18*C18+C18*T170+3.1415*T170^2/4/4)/144</f>
        <v>18.626898437500003</v>
      </c>
      <c r="W199" s="4" t="s">
        <v>147</v>
      </c>
    </row>
    <row r="200" spans="1:54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4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4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56</v>
      </c>
      <c r="U202" s="4" t="s">
        <v>0</v>
      </c>
      <c r="V202" s="4" t="s">
        <v>53</v>
      </c>
      <c r="W202" s="64"/>
    </row>
    <row r="203" spans="1:54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4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95.3964</v>
      </c>
      <c r="U204" s="4" t="s">
        <v>0</v>
      </c>
      <c r="V204" s="64"/>
      <c r="W204" s="64"/>
    </row>
    <row r="205" spans="1:54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5342.1984000000002</v>
      </c>
      <c r="U205" s="4" t="s">
        <v>35</v>
      </c>
    </row>
    <row r="206" spans="1:54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44.01655114007238</v>
      </c>
      <c r="AF206" s="4" t="s">
        <v>5</v>
      </c>
    </row>
    <row r="207" spans="1:54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585.20851406960128</v>
      </c>
      <c r="S207" s="4" t="s">
        <v>8</v>
      </c>
      <c r="T207" s="4" t="s">
        <v>93</v>
      </c>
    </row>
    <row r="208" spans="1:54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497.42723695916106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</row>
    <row r="209" spans="1:54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235.14514907401283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</row>
    <row r="210" spans="1:54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0.47272270515681136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</row>
    <row r="211" spans="1:54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</row>
    <row r="212" spans="1:54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</row>
    <row r="213" spans="1:54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</row>
    <row r="214" spans="1:54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4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4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4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4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284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60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120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8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21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21" x14ac:dyDescent="0.25">
      <c r="A18" s="45"/>
      <c r="B18" s="46" t="s">
        <v>423</v>
      </c>
      <c r="C18" s="55">
        <f>+IF(C12&lt;61,15,IF(C12&lt;121,21,IF(C12&lt;201,27,IF(C12&lt;281,30,36))))</f>
        <v>15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21" ht="18" x14ac:dyDescent="0.35">
      <c r="A19" s="45"/>
      <c r="B19" s="46" t="s">
        <v>424</v>
      </c>
      <c r="C19" s="54">
        <f>17+30/200*C12</f>
        <v>26</v>
      </c>
      <c r="D19" s="48" t="s">
        <v>0</v>
      </c>
      <c r="E19" s="46" t="s">
        <v>260</v>
      </c>
      <c r="F19" s="57">
        <f>+C21-2*U26</f>
        <v>8.8670079999999984</v>
      </c>
      <c r="G19" s="48" t="s">
        <v>422</v>
      </c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20.737575</v>
      </c>
    </row>
    <row r="20" spans="1:21" ht="18" x14ac:dyDescent="0.35">
      <c r="A20" s="45"/>
      <c r="B20" s="46" t="s">
        <v>425</v>
      </c>
      <c r="C20" s="56">
        <v>68</v>
      </c>
      <c r="D20" s="48" t="s">
        <v>0</v>
      </c>
      <c r="E20" s="46" t="s">
        <v>261</v>
      </c>
      <c r="F20" s="74">
        <f>2*S27</f>
        <v>10.443999999999999</v>
      </c>
      <c r="G20" s="48" t="s">
        <v>422</v>
      </c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21" x14ac:dyDescent="0.25">
      <c r="A21" s="45"/>
      <c r="B21" s="46" t="s">
        <v>426</v>
      </c>
      <c r="C21" s="53">
        <f>2*C18/12+C17+0.866*4*C17</f>
        <v>15.891999999999999</v>
      </c>
      <c r="D21" s="48" t="s">
        <v>422</v>
      </c>
      <c r="I21" s="50"/>
      <c r="J21" s="4" t="s">
        <v>34</v>
      </c>
      <c r="L21" s="4">
        <f>+IF(C23&lt;9,(C23/8),IF(C23=9,1.128,IF(C23=10,1.27,IF(C23=11,1.41,IF(C23=14,1.693,0)))))</f>
        <v>1.41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21" ht="17.25" x14ac:dyDescent="0.25">
      <c r="A22" s="45"/>
      <c r="B22" s="46" t="s">
        <v>427</v>
      </c>
      <c r="C22" s="54">
        <f>2*C18/12+4*C17</f>
        <v>14.5</v>
      </c>
      <c r="D22" s="48" t="s">
        <v>422</v>
      </c>
      <c r="I22" s="50"/>
      <c r="J22" s="4" t="s">
        <v>36</v>
      </c>
      <c r="L22" s="4">
        <f>3.1415*L21^2/4</f>
        <v>1.5614040375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21" x14ac:dyDescent="0.25">
      <c r="A23" s="45"/>
      <c r="B23" s="46" t="s">
        <v>428</v>
      </c>
      <c r="C23" s="47">
        <v>11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21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21" ht="18" x14ac:dyDescent="0.35">
      <c r="A25" s="45"/>
      <c r="B25" s="46" t="s">
        <v>430</v>
      </c>
      <c r="C25" s="57">
        <f>+C20-C14-C15-P21-0.5*L21</f>
        <v>56.885000000000005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21" ht="18" x14ac:dyDescent="0.35">
      <c r="A26" s="45"/>
      <c r="B26" s="46" t="s">
        <v>431</v>
      </c>
      <c r="C26" s="58">
        <f>+C20-C14-C15-P21/2</f>
        <v>58.295000000000002</v>
      </c>
      <c r="D26" s="48" t="s">
        <v>0</v>
      </c>
      <c r="E26" s="49"/>
      <c r="F26" s="49"/>
      <c r="G26" s="49"/>
      <c r="H26" s="49"/>
      <c r="I26" s="50"/>
      <c r="O26" s="93"/>
      <c r="P26" s="93" t="s">
        <v>258</v>
      </c>
      <c r="Q26" s="93">
        <f>+C21/2</f>
        <v>7.9459999999999997</v>
      </c>
      <c r="R26" s="93" t="s">
        <v>262</v>
      </c>
      <c r="S26" s="93">
        <f>+Q26</f>
        <v>7.9459999999999997</v>
      </c>
      <c r="T26" s="93" t="s">
        <v>265</v>
      </c>
      <c r="U26" s="93">
        <f>+U27/0.5*0.866</f>
        <v>3.512496000000001</v>
      </c>
    </row>
    <row r="27" spans="1:21" ht="18" x14ac:dyDescent="0.35">
      <c r="A27" s="45"/>
      <c r="B27" s="46" t="s">
        <v>432</v>
      </c>
      <c r="C27" s="54">
        <f>+C20-C14-C15-1</f>
        <v>58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9.027166454840966</v>
      </c>
      <c r="O27" s="93"/>
      <c r="P27" s="93" t="s">
        <v>259</v>
      </c>
      <c r="Q27" s="93">
        <f>1.5*C17-0.5774*C18/12</f>
        <v>3.7782499999999999</v>
      </c>
      <c r="R27" s="93" t="s">
        <v>263</v>
      </c>
      <c r="S27" s="93">
        <f>+Q27+1.155*C18/12</f>
        <v>5.2219999999999995</v>
      </c>
      <c r="T27" s="93" t="s">
        <v>264</v>
      </c>
      <c r="U27" s="93">
        <f>+(C22-F20)/2</f>
        <v>2.0280000000000005</v>
      </c>
    </row>
    <row r="28" spans="1:21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  <c r="O28" s="93"/>
      <c r="P28" s="93"/>
      <c r="Q28" s="93"/>
      <c r="R28" s="93"/>
      <c r="S28" s="93"/>
      <c r="T28" s="93"/>
      <c r="U28" s="93"/>
    </row>
    <row r="29" spans="1:21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M29" s="4">
        <f>+IF(C8="Round",C16,L27)</f>
        <v>8</v>
      </c>
    </row>
    <row r="30" spans="1:21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21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21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58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29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66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+IF(B130&gt;B128,"NA",IF(B139&lt;1,"OK","NG"))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12025.662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+IF(G152&lt;1,"OK","NG")</f>
        <v>OK</v>
      </c>
      <c r="D36" s="49"/>
      <c r="E36" s="49"/>
      <c r="F36" s="49"/>
      <c r="G36" s="46" t="s">
        <v>346</v>
      </c>
      <c r="H36" s="62" t="s">
        <v>229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13.279075405578503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+IF(G165&lt;1,"OK","NG")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2634.6905385330765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2239.4869577531149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159.6896725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1.6*26*C13-1.6*C21*C22*C20/12*0.15+1.6*2*U26*U27*C20/12*0.15</f>
        <v>4697.9852499353601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7.1306364141641265E-2</v>
      </c>
    </row>
    <row r="41" spans="1:25" x14ac:dyDescent="0.25">
      <c r="A41" s="45"/>
      <c r="B41" s="46" t="s">
        <v>433</v>
      </c>
      <c r="C41" s="58">
        <f>+(C40/4)^0.5</f>
        <v>34.270925176946129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35</v>
      </c>
      <c r="D42" s="48" t="s">
        <v>0</v>
      </c>
      <c r="E42" s="110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1.6*C13*(4*(0.5*C17*12+C11-C42/4))+1.6*C13*(2*(1*C17*12+C11-C42/4))+1.6*C13*(4*(1.5*C17*12+C11-C42/4))+1.6*C13*(2*(2*C17*12+C11-C42/4))-1.6*(C22/2-C42/12/4)*C21*C20/12*0.15*(C22/2-C42/12/4)*12/2+1.6*U26*U27*C20/12*0.15*(C22*12/2-U27*12/3)</f>
        <v>78770.143300843672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4956.5909451827129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56.885000000000005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1.668064359169513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26.508878795921898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35.345171727895867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29.709011135343861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36.160656800000005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36.160656800000005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23.342169599999998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35.345171727895867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1.0959999999999999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0.95419847328244267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8.7282857142857146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27.723025916345797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3.7050000000000001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35.345171727895867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3.7050000000000001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3.7050000000000001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46.337328364937051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66.5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22.636787710942414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22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46.337328364937051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66.5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1.6*C13*(4*(0.5*C17*12+C11-C42/4))+1.6*C13*(5*((0.5+0.866)*C17*12+C11-C42/4))+1.6*C13*(4*((0.5+2*0.866)*C17*12+C11-C42/4))-1.6*(C21/2-C42/12/4)*C22*C20/12*0.15*(C21/2-C42/12/4)*12/2+1.6*U26*U27*C20/12*0.15*(C21*12/2-U26*12/3)</f>
        <v>103016.50610107958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7104.5866276606603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58.295000000000002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2.3574132806805004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7.9328571428571433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34.182492569867257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45.57665675982301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3.7050000000000001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27.77865324609439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33.811099999999996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33.811099999999996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21.297599999999999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34.182492569867257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3.7050000000000001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46.337328364937051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46.337328364937051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74.852000000000004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74.852000000000004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21.892150749525172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22</v>
      </c>
      <c r="D83" s="48"/>
      <c r="E83" s="49"/>
      <c r="F83" s="49"/>
      <c r="G83" s="49"/>
      <c r="H83" s="49"/>
      <c r="I83" s="116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58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46.5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29</v>
      </c>
      <c r="C87" s="48" t="s">
        <v>0</v>
      </c>
      <c r="F87" s="49"/>
      <c r="G87" s="80"/>
      <c r="H87" s="49"/>
      <c r="I87" s="50"/>
      <c r="J87" s="4" t="s">
        <v>240</v>
      </c>
      <c r="K87" s="64"/>
      <c r="L87" s="64"/>
      <c r="M87" s="64"/>
      <c r="N87" s="64"/>
      <c r="O87" s="64">
        <f>0.5*C17*12+C11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+IF(M86&gt;O93,0,IF(M86&gt;O90,8,IF(M86&gt;O89,12,IF(M86&gt;O92,16,IF(M86&gt;O87,22,26)))))</f>
        <v>22</v>
      </c>
      <c r="G88" s="49"/>
      <c r="H88" s="49"/>
      <c r="I88" s="50"/>
      <c r="J88" s="4" t="s">
        <v>251</v>
      </c>
      <c r="K88" s="64"/>
      <c r="L88" s="64"/>
      <c r="M88" s="64"/>
      <c r="N88" s="64"/>
      <c r="O88" s="64">
        <f>1*C17*12+C11</f>
        <v>39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266</v>
      </c>
      <c r="K89" s="64"/>
      <c r="L89" s="64"/>
      <c r="M89" s="64"/>
      <c r="N89" s="64"/>
      <c r="O89" s="64">
        <f>1.5*C17*12+C11</f>
        <v>57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372</v>
      </c>
      <c r="C90" s="48" t="s">
        <v>0</v>
      </c>
      <c r="D90" s="49"/>
      <c r="E90" s="49"/>
      <c r="F90" s="49"/>
      <c r="G90" s="49"/>
      <c r="H90" s="49"/>
      <c r="I90" s="50"/>
      <c r="J90" s="4" t="s">
        <v>285</v>
      </c>
      <c r="K90" s="64"/>
      <c r="L90" s="64"/>
      <c r="M90" s="64"/>
      <c r="N90" s="64"/>
      <c r="O90" s="64">
        <f>2*C17*12+C11</f>
        <v>75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4727.0647602925856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241</v>
      </c>
      <c r="K91" s="64"/>
      <c r="L91" s="64"/>
      <c r="M91" s="64"/>
      <c r="N91" s="64"/>
      <c r="O91" s="64">
        <f>+C17*12*0.5+C11</f>
        <v>21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4018.0050462486975</v>
      </c>
      <c r="C92" s="48" t="s">
        <v>18</v>
      </c>
      <c r="D92" s="49"/>
      <c r="E92" s="49"/>
      <c r="F92" s="49"/>
      <c r="G92" s="49"/>
      <c r="H92" s="49"/>
      <c r="I92" s="50"/>
      <c r="J92" s="4" t="s">
        <v>242</v>
      </c>
      <c r="K92" s="64"/>
      <c r="L92" s="64"/>
      <c r="M92" s="64"/>
      <c r="N92" s="64"/>
      <c r="O92" s="64">
        <f>+C17*12*(0.5+0.866)+C11</f>
        <v>52.176000000000002</v>
      </c>
      <c r="P92" s="4" t="s">
        <v>0</v>
      </c>
      <c r="Q92" s="4" t="s">
        <v>120</v>
      </c>
    </row>
    <row r="93" spans="1:17" ht="18" x14ac:dyDescent="0.35">
      <c r="A93" s="68" t="s">
        <v>58</v>
      </c>
      <c r="B93" s="79">
        <f>+E88*1.6*C13-1.6*0.15*C21*C22*C20/12+1.6*0.15*(2*M86)/12*(2*M86)/12*C20/12+1.6*2*U26*U27*C20/12*0.15</f>
        <v>4011.6702499353596</v>
      </c>
      <c r="C93" s="48" t="s">
        <v>18</v>
      </c>
      <c r="D93" s="49" t="s">
        <v>132</v>
      </c>
      <c r="E93" s="49"/>
      <c r="F93" s="49"/>
      <c r="G93" s="49"/>
      <c r="H93" s="49"/>
      <c r="I93" s="50"/>
      <c r="J93" s="4" t="s">
        <v>243</v>
      </c>
      <c r="K93" s="64"/>
      <c r="L93" s="64"/>
      <c r="M93" s="64"/>
      <c r="N93" s="64"/>
      <c r="O93" s="64">
        <f>+C17*12*(0.5+2*0.866)+C11</f>
        <v>83.352000000000004</v>
      </c>
      <c r="P93" s="4" t="s">
        <v>0</v>
      </c>
      <c r="Q93" s="4" t="s">
        <v>120</v>
      </c>
    </row>
    <row r="94" spans="1:17" ht="18" x14ac:dyDescent="0.35">
      <c r="A94" s="68" t="s">
        <v>14</v>
      </c>
      <c r="B94" s="74">
        <f>+B93/B92</f>
        <v>0.99842339762135135</v>
      </c>
      <c r="C94" s="48"/>
      <c r="D94" s="49"/>
      <c r="E94" s="49"/>
      <c r="F94" s="49"/>
      <c r="G94" s="49"/>
      <c r="H94" s="49"/>
      <c r="I94" s="50"/>
      <c r="K94" s="64"/>
      <c r="L94" s="64"/>
      <c r="M94" s="64"/>
      <c r="N94" s="64"/>
      <c r="O94" s="64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  <c r="L95" s="4" t="s">
        <v>83</v>
      </c>
      <c r="O95" s="4">
        <f>+B89</f>
        <v>219.08902300206645</v>
      </c>
      <c r="P95" s="4" t="s">
        <v>5</v>
      </c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58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75.5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+IF(M98&gt;O101,0,IF(M98&gt;O100,4,IF(M98&gt;O99,9,13)))</f>
        <v>4</v>
      </c>
      <c r="G99" s="49"/>
      <c r="H99" s="49"/>
      <c r="I99" s="50"/>
      <c r="J99" s="4" t="s">
        <v>241</v>
      </c>
      <c r="K99" s="64"/>
      <c r="L99" s="64"/>
      <c r="M99" s="64"/>
      <c r="N99" s="64"/>
      <c r="O99" s="64">
        <f>+C17*12*0.5+C11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242</v>
      </c>
      <c r="K100" s="64"/>
      <c r="L100" s="64"/>
      <c r="M100" s="64"/>
      <c r="N100" s="64"/>
      <c r="O100" s="64">
        <f>+C17*12*(0.5+0.866)+C11</f>
        <v>52.176000000000002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+M105*12*B98</f>
        <v>8598.6036766743637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243</v>
      </c>
      <c r="K101" s="64"/>
      <c r="L101" s="64"/>
      <c r="M101" s="64"/>
      <c r="N101" s="64"/>
      <c r="O101" s="64">
        <f>+C17*12*(0.5+2*0.866)+C11</f>
        <v>83.352000000000004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941.92983935228142</v>
      </c>
      <c r="C102" s="48" t="s">
        <v>18</v>
      </c>
      <c r="D102" s="49" t="s">
        <v>63</v>
      </c>
      <c r="E102" s="49"/>
      <c r="F102" s="49"/>
      <c r="G102" s="49"/>
      <c r="H102" s="49"/>
      <c r="I102" s="50"/>
      <c r="K102" s="64"/>
      <c r="L102" s="64"/>
      <c r="M102" s="64"/>
      <c r="N102" s="64"/>
      <c r="O102" s="64"/>
    </row>
    <row r="103" spans="1:17" ht="18" x14ac:dyDescent="0.35">
      <c r="A103" s="68" t="s">
        <v>12</v>
      </c>
      <c r="B103" s="79">
        <f>+B102*0.85</f>
        <v>800.64036344943918</v>
      </c>
      <c r="C103" s="48" t="s">
        <v>18</v>
      </c>
      <c r="D103" s="49"/>
      <c r="E103" s="49"/>
      <c r="F103" s="49"/>
      <c r="G103" s="49"/>
      <c r="H103" s="49"/>
      <c r="I103" s="50"/>
      <c r="L103" s="4" t="s">
        <v>83</v>
      </c>
      <c r="O103" s="4">
        <f>+B100</f>
        <v>109.54451150103323</v>
      </c>
      <c r="P103" s="4" t="s">
        <v>5</v>
      </c>
    </row>
    <row r="104" spans="1:17" ht="18" x14ac:dyDescent="0.35">
      <c r="A104" s="68" t="s">
        <v>58</v>
      </c>
      <c r="B104" s="79">
        <f>+E99*C13*1.6-1.6*0.15*C21*C22*C20/12*((C21/2-M98/12)/C21)+1.6*U26*U27*C20/12*0.15</f>
        <v>745.06429163434666</v>
      </c>
      <c r="C104" s="48" t="s">
        <v>18</v>
      </c>
      <c r="D104" s="49" t="s">
        <v>132</v>
      </c>
      <c r="E104" s="49"/>
      <c r="F104" s="49"/>
      <c r="G104" s="49"/>
      <c r="H104" s="49"/>
      <c r="I104" s="50"/>
      <c r="L104" s="4" t="s">
        <v>270</v>
      </c>
      <c r="M104" s="4">
        <f>+C22</f>
        <v>14.5</v>
      </c>
    </row>
    <row r="105" spans="1:17" ht="18" x14ac:dyDescent="0.35">
      <c r="A105" s="68" t="s">
        <v>14</v>
      </c>
      <c r="B105" s="74">
        <f>+B104/B103</f>
        <v>0.93058547338826225</v>
      </c>
      <c r="C105" s="49"/>
      <c r="D105" s="49"/>
      <c r="E105" s="49"/>
      <c r="F105" s="49"/>
      <c r="G105" s="49"/>
      <c r="H105" s="49"/>
      <c r="I105" s="50"/>
      <c r="L105" s="4" t="s">
        <v>269</v>
      </c>
      <c r="M105" s="4">
        <f>+IF(M98/12&lt;F19/2,C22,C22-2*(M98/12-F19/2)/0.866*0.5)</f>
        <v>12.354315627405695</v>
      </c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58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75.5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+IF(M109&gt;O113,0,IF(M109&gt;O112,2,IF(M109&gt;O111,6,IF(M109&gt;O110,8,12))))</f>
        <v>0</v>
      </c>
      <c r="G110" s="49"/>
      <c r="H110" s="49"/>
      <c r="I110" s="50"/>
      <c r="J110" s="4" t="s">
        <v>252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253</v>
      </c>
      <c r="K111" s="64"/>
      <c r="L111" s="64"/>
      <c r="M111" s="64"/>
      <c r="N111" s="64"/>
      <c r="O111" s="64">
        <f>1*C17*12+C11</f>
        <v>39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+M116*12*B109</f>
        <v>10201.146087759815</v>
      </c>
      <c r="C112" s="48" t="s">
        <v>436</v>
      </c>
      <c r="D112" s="49"/>
      <c r="E112" s="49"/>
      <c r="F112" s="49"/>
      <c r="G112" s="49"/>
      <c r="H112" s="49"/>
      <c r="I112" s="50"/>
      <c r="J112" s="4" t="s">
        <v>267</v>
      </c>
      <c r="K112" s="64"/>
      <c r="L112" s="64"/>
      <c r="M112" s="64"/>
      <c r="N112" s="64"/>
      <c r="O112" s="64">
        <f>1.5*C17*12+C11</f>
        <v>57</v>
      </c>
      <c r="P112" s="4" t="s">
        <v>0</v>
      </c>
      <c r="Q112" s="4" t="s">
        <v>120</v>
      </c>
    </row>
    <row r="113" spans="1:17" ht="18.75" x14ac:dyDescent="0.35">
      <c r="A113" s="68" t="s">
        <v>7</v>
      </c>
      <c r="B113" s="79">
        <f>+B111*B112/1000</f>
        <v>1117.4795649343253</v>
      </c>
      <c r="C113" s="48" t="s">
        <v>18</v>
      </c>
      <c r="D113" s="49" t="s">
        <v>63</v>
      </c>
      <c r="E113" s="49"/>
      <c r="F113" s="49"/>
      <c r="G113" s="49"/>
      <c r="H113" s="49"/>
      <c r="I113" s="50"/>
      <c r="J113" s="4" t="s">
        <v>286</v>
      </c>
      <c r="K113" s="64"/>
      <c r="L113" s="64"/>
      <c r="M113" s="64"/>
      <c r="N113" s="64"/>
      <c r="O113" s="64">
        <f>2*C17*12+C11</f>
        <v>75</v>
      </c>
      <c r="P113" s="4" t="s">
        <v>0</v>
      </c>
      <c r="Q113" s="4" t="s">
        <v>120</v>
      </c>
    </row>
    <row r="114" spans="1:17" ht="18" x14ac:dyDescent="0.35">
      <c r="A114" s="68" t="s">
        <v>12</v>
      </c>
      <c r="B114" s="79">
        <f>+B113*0.85</f>
        <v>949.85763019417641</v>
      </c>
      <c r="C114" s="48" t="s">
        <v>18</v>
      </c>
      <c r="D114" s="49"/>
      <c r="E114" s="49"/>
      <c r="F114" s="49"/>
      <c r="G114" s="49"/>
      <c r="H114" s="49"/>
      <c r="I114" s="50"/>
      <c r="L114" s="4" t="s">
        <v>83</v>
      </c>
      <c r="O114" s="4">
        <f>+B111</f>
        <v>109.54451150103323</v>
      </c>
      <c r="P114" s="4" t="s">
        <v>5</v>
      </c>
    </row>
    <row r="115" spans="1:17" ht="18" x14ac:dyDescent="0.35">
      <c r="A115" s="68" t="s">
        <v>58</v>
      </c>
      <c r="B115" s="79">
        <f>+E110*C13*1.6-1.6*0.15*C21*C22*C20/12*((C22/2-M109/12)/C22)+1.6*U26*U27*C20/12*0.15</f>
        <v>-11.02482836565332</v>
      </c>
      <c r="C115" s="48" t="s">
        <v>18</v>
      </c>
      <c r="D115" s="49" t="s">
        <v>132</v>
      </c>
      <c r="E115" s="49"/>
      <c r="F115" s="49"/>
      <c r="G115" s="49"/>
      <c r="H115" s="49"/>
      <c r="I115" s="50"/>
      <c r="L115" s="4" t="s">
        <v>270</v>
      </c>
      <c r="M115" s="4">
        <f>+C21</f>
        <v>15.891999999999999</v>
      </c>
    </row>
    <row r="116" spans="1:17" ht="18" x14ac:dyDescent="0.35">
      <c r="A116" s="68" t="s">
        <v>14</v>
      </c>
      <c r="B116" s="74">
        <f>+B115/B114</f>
        <v>-1.1606821922775469E-2</v>
      </c>
      <c r="C116" s="48"/>
      <c r="D116" s="49"/>
      <c r="E116" s="49"/>
      <c r="F116" s="49"/>
      <c r="G116" s="49"/>
      <c r="H116" s="49"/>
      <c r="I116" s="50"/>
      <c r="L116" s="4" t="s">
        <v>269</v>
      </c>
      <c r="M116" s="4">
        <f>+IF(M109/12&lt;F20/2,C21,C21-2*(M109/12-F20/2)/0.866*0.5)</f>
        <v>14.656819091608929</v>
      </c>
    </row>
    <row r="117" spans="1:17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17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17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17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17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17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17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17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17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17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17" x14ac:dyDescent="0.25">
      <c r="A127" s="68" t="s">
        <v>1</v>
      </c>
      <c r="B127" s="53">
        <f>+B86</f>
        <v>58</v>
      </c>
      <c r="C127" s="48" t="s">
        <v>0</v>
      </c>
      <c r="F127" s="49"/>
      <c r="G127" s="49"/>
      <c r="H127" s="49"/>
      <c r="I127" s="50"/>
      <c r="K127" s="4" t="s">
        <v>352</v>
      </c>
    </row>
    <row r="128" spans="1:17" x14ac:dyDescent="0.25">
      <c r="A128" s="68" t="s">
        <v>54</v>
      </c>
      <c r="B128" s="54">
        <f>+B127/2</f>
        <v>29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</row>
    <row r="129" spans="1:24" x14ac:dyDescent="0.25">
      <c r="A129" s="115"/>
      <c r="B129" s="49"/>
      <c r="C129" s="48"/>
      <c r="D129" s="46" t="s">
        <v>453</v>
      </c>
      <c r="E129" s="83">
        <v>26</v>
      </c>
      <c r="G129" s="49"/>
      <c r="H129" s="49"/>
      <c r="I129" s="50"/>
    </row>
    <row r="130" spans="1:24" ht="18" x14ac:dyDescent="0.35">
      <c r="A130" s="68" t="s">
        <v>454</v>
      </c>
      <c r="B130" s="57">
        <f>+C17*12/2-C42/2+C11</f>
        <v>3.5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K130" s="4">
        <v>1</v>
      </c>
      <c r="L130" s="49" t="s">
        <v>14</v>
      </c>
      <c r="M130" s="49">
        <f>+IF(B130&gt;0,B139,V139)</f>
        <v>0.38930885702154078</v>
      </c>
      <c r="Q130" s="49" t="s">
        <v>16</v>
      </c>
      <c r="R130" s="4">
        <f>+C17*12/2-C42/2+C11</f>
        <v>3.5</v>
      </c>
      <c r="S130" s="4" t="s">
        <v>0</v>
      </c>
      <c r="U130" s="45" t="s">
        <v>16</v>
      </c>
      <c r="V130" s="49">
        <f>+C17*12/2-C42/2+C11+C17*12/2</f>
        <v>21.5</v>
      </c>
      <c r="W130" s="49" t="s">
        <v>16</v>
      </c>
      <c r="X130" s="4">
        <f>+C17*12/2-C42/2+C11+C17*12*0.866</f>
        <v>34.676000000000002</v>
      </c>
    </row>
    <row r="131" spans="1:24" ht="18" x14ac:dyDescent="0.35">
      <c r="A131" s="68" t="s">
        <v>58</v>
      </c>
      <c r="B131" s="79">
        <f>+C13*E129*1.6-1.6*0.15*C21*C22*C20/12+1.6*0.15*(C42)/12*(C42)/12*C20/12+1.6*2*U26*U27*C20/12*0.15</f>
        <v>4709.5546943798045</v>
      </c>
      <c r="C131" s="48" t="s">
        <v>18</v>
      </c>
      <c r="D131" s="49"/>
      <c r="E131" s="49"/>
      <c r="F131" s="49"/>
      <c r="G131" s="49"/>
      <c r="H131" s="49"/>
      <c r="I131" s="50"/>
      <c r="K131" s="4">
        <v>2</v>
      </c>
      <c r="L131" s="49" t="s">
        <v>14</v>
      </c>
      <c r="M131" s="49">
        <f>+IF(R130&gt;0,R139,X139)</f>
        <v>0.38930885702154078</v>
      </c>
      <c r="Q131" s="49" t="s">
        <v>13</v>
      </c>
      <c r="R131" s="49">
        <f>+C13*E129*1.6-1.6*0.15*C21*C22*C20/12+1.6*0.15*(C42)/12*(C42)/12*C20/12+1.6*2*U26*U27*C20/12*0.15</f>
        <v>4709.5546943798045</v>
      </c>
      <c r="S131" s="49" t="s">
        <v>8</v>
      </c>
      <c r="T131" s="49"/>
      <c r="U131" s="45" t="s">
        <v>13</v>
      </c>
      <c r="V131" s="49">
        <f>+C13*(E129-4)*1.6-1.6*0.15*C21*C22*C20/12+1.6*0.15*(C42)/12*(C42)/12*C20/12</f>
        <v>3922.1792044444442</v>
      </c>
      <c r="W131" s="49" t="s">
        <v>13</v>
      </c>
      <c r="X131" s="49">
        <f>+C13*(E129-4)*1.6-1.6*0.15*C21*C22*C20/12+1.6*0.15*(C42)/12*(C42)/12*C20/12</f>
        <v>3922.1792044444442</v>
      </c>
    </row>
    <row r="132" spans="1:24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5" t="s">
        <v>3</v>
      </c>
      <c r="V132" s="49">
        <f>4*(C9*1000)^0.5</f>
        <v>219.08902300206645</v>
      </c>
      <c r="W132" s="49" t="s">
        <v>3</v>
      </c>
      <c r="X132" s="49">
        <f>+B132</f>
        <v>219.08902300206645</v>
      </c>
    </row>
    <row r="133" spans="1:24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4</v>
      </c>
      <c r="V133" s="49">
        <f>+V132*8</f>
        <v>1752.7121840165316</v>
      </c>
      <c r="W133" s="49" t="s">
        <v>4</v>
      </c>
      <c r="X133" s="49">
        <f>+X132*8</f>
        <v>1752.7121840165316</v>
      </c>
    </row>
    <row r="134" spans="1:24" ht="18" x14ac:dyDescent="0.35">
      <c r="A134" s="68" t="s">
        <v>11</v>
      </c>
      <c r="B134" s="58">
        <f>4*(B127+C42)</f>
        <v>372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372</v>
      </c>
      <c r="S134" s="49" t="s">
        <v>0</v>
      </c>
      <c r="T134" s="49"/>
      <c r="U134" s="45" t="s">
        <v>11</v>
      </c>
      <c r="V134" s="49">
        <f>4*(B127+C42)</f>
        <v>372</v>
      </c>
      <c r="W134" s="49" t="s">
        <v>11</v>
      </c>
      <c r="X134" s="49">
        <f>+B134</f>
        <v>372</v>
      </c>
    </row>
    <row r="135" spans="1:24" ht="18" x14ac:dyDescent="0.35">
      <c r="A135" s="68" t="s">
        <v>2</v>
      </c>
      <c r="B135" s="58">
        <f>4*C42</f>
        <v>140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140</v>
      </c>
      <c r="S135" s="49" t="s">
        <v>0</v>
      </c>
      <c r="T135" s="49"/>
      <c r="U135" s="45" t="s">
        <v>2</v>
      </c>
      <c r="V135" s="49">
        <f>4*C42</f>
        <v>140</v>
      </c>
      <c r="W135" s="49" t="s">
        <v>2</v>
      </c>
      <c r="X135" s="49">
        <f>+B135</f>
        <v>140</v>
      </c>
    </row>
    <row r="136" spans="1:24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32</v>
      </c>
      <c r="S136" s="49"/>
      <c r="T136" s="49"/>
      <c r="U136" s="45" t="s">
        <v>6</v>
      </c>
      <c r="V136" s="49">
        <f>IF(2*B127/V130*(1+B127/C42)&lt;32,2*B127/V130*(1+B127/C42),32)</f>
        <v>14.33621262458472</v>
      </c>
      <c r="W136" s="49" t="s">
        <v>6</v>
      </c>
      <c r="X136" s="49">
        <f>IF(2*B127/X130*(1+B127/C42)&lt;32,2*B127/X130*(1+B127/C42),32)</f>
        <v>8.8888156485341874</v>
      </c>
    </row>
    <row r="137" spans="1:24" ht="18.75" x14ac:dyDescent="0.35">
      <c r="A137" s="68" t="s">
        <v>7</v>
      </c>
      <c r="B137" s="79">
        <f>+B136*(C9*1000)^0.5*B135*B127/1000</f>
        <v>14232.022934214237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32</v>
      </c>
      <c r="Q137" s="49" t="s">
        <v>7</v>
      </c>
      <c r="R137" s="49">
        <f>+R136*(C9*1000)^0.5*R135*B127/1000</f>
        <v>14232.022934214237</v>
      </c>
      <c r="S137" s="49" t="s">
        <v>8</v>
      </c>
      <c r="T137" s="49"/>
      <c r="U137" s="45" t="s">
        <v>7</v>
      </c>
      <c r="V137" s="49">
        <f>+V136*(C9*1000)^0.5*V135*B127/1000</f>
        <v>6376.0408394644182</v>
      </c>
      <c r="W137" s="49" t="s">
        <v>7</v>
      </c>
      <c r="X137" s="49">
        <f>+X136*(C9*1000)^0.5*X135*B127/1000</f>
        <v>3953.3071302481549</v>
      </c>
    </row>
    <row r="138" spans="1:24" ht="18" x14ac:dyDescent="0.35">
      <c r="A138" s="68" t="s">
        <v>12</v>
      </c>
      <c r="B138" s="79">
        <f>+B137*0.85</f>
        <v>12097.219494082101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14232.022934214237</v>
      </c>
      <c r="Q138" s="49" t="s">
        <v>12</v>
      </c>
      <c r="R138" s="49">
        <f>+R137*0.85</f>
        <v>12097.219494082101</v>
      </c>
      <c r="S138" s="49" t="s">
        <v>8</v>
      </c>
      <c r="T138" s="49"/>
      <c r="U138" s="45" t="s">
        <v>12</v>
      </c>
      <c r="V138" s="49">
        <f>+V137*0.85</f>
        <v>5419.634713544755</v>
      </c>
      <c r="W138" s="49" t="s">
        <v>12</v>
      </c>
      <c r="X138" s="49">
        <f>+X137*0.85</f>
        <v>3360.3110607109315</v>
      </c>
    </row>
    <row r="139" spans="1:24" ht="18" x14ac:dyDescent="0.35">
      <c r="A139" s="68" t="s">
        <v>14</v>
      </c>
      <c r="B139" s="74">
        <f>+B131/B138</f>
        <v>0.38930885702154078</v>
      </c>
      <c r="C139" s="48"/>
      <c r="D139" s="110"/>
      <c r="H139" s="49"/>
      <c r="I139" s="50"/>
      <c r="K139" s="4">
        <f>+R131/K138</f>
        <v>0.33091252846830965</v>
      </c>
      <c r="Q139" s="49" t="s">
        <v>14</v>
      </c>
      <c r="R139" s="49">
        <f>+R131/R138</f>
        <v>0.38930885702154078</v>
      </c>
      <c r="S139" s="49"/>
      <c r="T139" s="49"/>
      <c r="U139" s="45" t="s">
        <v>14</v>
      </c>
      <c r="V139" s="49">
        <f>+V131/V138</f>
        <v>0.72369807408645659</v>
      </c>
      <c r="W139" s="49" t="s">
        <v>14</v>
      </c>
      <c r="X139" s="49">
        <f>+X131/X138</f>
        <v>1.167207182187068</v>
      </c>
    </row>
    <row r="140" spans="1:24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4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4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4" x14ac:dyDescent="0.25">
      <c r="A143" s="68" t="s">
        <v>1</v>
      </c>
      <c r="B143" s="53">
        <f>+C20-C14-C15-P21/2</f>
        <v>58.295000000000002</v>
      </c>
      <c r="C143" s="48" t="s">
        <v>0</v>
      </c>
      <c r="D143" s="49"/>
      <c r="E143" s="49"/>
      <c r="F143" s="49"/>
      <c r="G143" s="49"/>
      <c r="H143" s="49"/>
      <c r="I143" s="50"/>
      <c r="L143" s="4" t="s">
        <v>83</v>
      </c>
      <c r="O143" s="4">
        <f>+B150/2*B100</f>
        <v>547.72255750516615</v>
      </c>
      <c r="P143" s="4" t="s">
        <v>5</v>
      </c>
    </row>
    <row r="144" spans="1:24" x14ac:dyDescent="0.25">
      <c r="A144" s="68" t="s">
        <v>64</v>
      </c>
      <c r="B144" s="58">
        <f>+C17*12/2-C42/2+C11</f>
        <v>3.5</v>
      </c>
      <c r="C144" s="48" t="s">
        <v>0</v>
      </c>
      <c r="D144" s="80"/>
      <c r="E144" s="49"/>
      <c r="F144" s="49"/>
      <c r="G144" s="49"/>
      <c r="H144" s="49"/>
      <c r="I144" s="50"/>
      <c r="L144" s="45" t="s">
        <v>64</v>
      </c>
      <c r="M144" s="80">
        <f>+C17*12/2-C42/2+C11+C17*12*0.866</f>
        <v>34.676000000000002</v>
      </c>
      <c r="N144" s="49" t="s">
        <v>0</v>
      </c>
    </row>
    <row r="145" spans="1:16" x14ac:dyDescent="0.25">
      <c r="A145" s="68" t="s">
        <v>65</v>
      </c>
      <c r="B145" s="58">
        <f>MAX(B144/B143,0)</f>
        <v>6.0039454498670555E-2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  <c r="L145" s="45" t="s">
        <v>65</v>
      </c>
      <c r="M145" s="80">
        <f>MAX(M144/B143,0)</f>
        <v>0.59483660691311435</v>
      </c>
      <c r="N145" s="49"/>
    </row>
    <row r="146" spans="1:16" ht="18" x14ac:dyDescent="0.35">
      <c r="A146" s="68" t="s">
        <v>58</v>
      </c>
      <c r="B146" s="79">
        <f>13*1.6*C13-1.6*0.15*C21*C22*C20/12*((C21/2-C42/2/12)/C21)+1.6*U26*U27*C20/12*0.15</f>
        <v>2377.7509583010133</v>
      </c>
      <c r="C146" s="48" t="s">
        <v>18</v>
      </c>
      <c r="D146" s="80"/>
      <c r="E146" s="49"/>
      <c r="F146" s="80"/>
      <c r="G146" s="49"/>
      <c r="H146" s="49"/>
      <c r="I146" s="50"/>
      <c r="L146" s="45" t="s">
        <v>58</v>
      </c>
      <c r="M146" s="49">
        <f>9*1.6*C13-1.6*0.15*C21*C22*C20/12*((C21/2-C42/2/12)/C21)+1.6*U26*U27*C20/12*0.15</f>
        <v>1609.7509583010133</v>
      </c>
      <c r="N146" s="49" t="s">
        <v>8</v>
      </c>
    </row>
    <row r="147" spans="1:16" ht="18" x14ac:dyDescent="0.35">
      <c r="A147" s="68" t="s">
        <v>26</v>
      </c>
      <c r="B147" s="79">
        <f>1.6*C13*(4*B144)+1.6*C13*(5*(B144+0.866*C17*12))+1.6*C13*(4*(B144+2*0.866*C17*12))-1.6*0.15*C21*C22*C20/12*((C21/2-C42/2/12)/C21)*(C21/2-C42/2/12)*12/2+1.6*U26*U27*C20/12*0.15*(C21*12/2-U26*12/3)</f>
        <v>82358.861838579571</v>
      </c>
      <c r="C147" s="48" t="s">
        <v>27</v>
      </c>
      <c r="D147" s="80"/>
      <c r="E147" s="49"/>
      <c r="F147" s="80"/>
      <c r="G147" s="49"/>
      <c r="H147" s="49"/>
      <c r="I147" s="50"/>
      <c r="L147" s="45" t="s">
        <v>26</v>
      </c>
      <c r="M147" s="49">
        <f>1.6*C13*(5*(M144))+1.6*C13*(4*(M144+0.866*C17*12))-1.6*0.15*C21*C22*C20/12*((C21/2-C42/2/12)/C21)*(C21/2-C42/2/12)*12/2+1.6*U26*U27*C20/12*0.15*(C21*12/2-U26*12/3)</f>
        <v>79670.861838579571</v>
      </c>
      <c r="N147" s="49" t="s">
        <v>27</v>
      </c>
    </row>
    <row r="148" spans="1:16" ht="18" x14ac:dyDescent="0.35">
      <c r="A148" s="68" t="s">
        <v>66</v>
      </c>
      <c r="B148" s="58">
        <f>+B146*B143/B147</f>
        <v>1.6830124775865669</v>
      </c>
      <c r="C148" s="48"/>
      <c r="D148" s="80"/>
      <c r="E148" s="80"/>
      <c r="F148" s="80"/>
      <c r="G148" s="49"/>
      <c r="H148" s="49"/>
      <c r="I148" s="50"/>
      <c r="L148" s="45" t="s">
        <v>66</v>
      </c>
      <c r="M148" s="80">
        <f>+M146*B143/M147</f>
        <v>1.1778513492710403</v>
      </c>
      <c r="N148" s="80"/>
    </row>
    <row r="149" spans="1:16" ht="18" x14ac:dyDescent="0.35">
      <c r="A149" s="68" t="s">
        <v>447</v>
      </c>
      <c r="B149" s="58">
        <f>1/B148</f>
        <v>0.59417265963113708</v>
      </c>
      <c r="C149" s="48"/>
      <c r="D149" s="80"/>
      <c r="E149" s="80"/>
      <c r="F149" s="80"/>
      <c r="G149" s="49"/>
      <c r="H149" s="49"/>
      <c r="I149" s="50"/>
      <c r="L149" s="45" t="s">
        <v>67</v>
      </c>
      <c r="M149" s="80">
        <f>1/M148</f>
        <v>0.84900356960909318</v>
      </c>
      <c r="N149" s="8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  <c r="L150" s="45" t="s">
        <v>6</v>
      </c>
      <c r="M150" s="80">
        <f>+MIN(1/M145*(3.5-2.5*M149)*(1.9+0.1*M148),10)</f>
        <v>4.67267983224116</v>
      </c>
      <c r="N150" s="80"/>
    </row>
    <row r="151" spans="1:16" ht="18" x14ac:dyDescent="0.35">
      <c r="A151" s="68" t="s">
        <v>12</v>
      </c>
      <c r="B151" s="79">
        <f>0.85*B150*(C9*1000)^0.5/1000*C22*12*B143</f>
        <v>4722.3710518360449</v>
      </c>
      <c r="C151" s="48" t="s">
        <v>18</v>
      </c>
      <c r="D151" s="49"/>
      <c r="E151" s="49"/>
      <c r="F151" s="49"/>
      <c r="G151" s="49"/>
      <c r="H151" s="49"/>
      <c r="I151" s="50"/>
      <c r="L151" s="45" t="s">
        <v>12</v>
      </c>
      <c r="M151" s="49">
        <f>0.85*M150*(C9*1000)^0.5/1000*C22*12*B143</f>
        <v>2206.6127974273759</v>
      </c>
      <c r="N151" s="49" t="s">
        <v>8</v>
      </c>
    </row>
    <row r="152" spans="1:16" ht="18" x14ac:dyDescent="0.35">
      <c r="A152" s="68" t="s">
        <v>14</v>
      </c>
      <c r="B152" s="74">
        <f>+B146/B151</f>
        <v>0.50350786335956177</v>
      </c>
      <c r="C152" s="48"/>
      <c r="D152" s="110" t="s">
        <v>282</v>
      </c>
      <c r="F152" s="4" t="s">
        <v>14</v>
      </c>
      <c r="G152" s="88">
        <f>+IF(B144&gt;0,B152,M152)</f>
        <v>0.50350786335956177</v>
      </c>
      <c r="H152" s="49"/>
      <c r="I152" s="50"/>
      <c r="L152" s="45" t="s">
        <v>14</v>
      </c>
      <c r="M152" s="49">
        <f>+M146/M151</f>
        <v>0.72951220086177959</v>
      </c>
      <c r="N152" s="49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56.885000000000005</v>
      </c>
      <c r="C156" s="48" t="s">
        <v>0</v>
      </c>
      <c r="D156" s="49"/>
      <c r="E156" s="49"/>
      <c r="F156" s="49"/>
      <c r="G156" s="49"/>
      <c r="H156" s="49"/>
      <c r="I156" s="50"/>
      <c r="L156" s="4" t="s">
        <v>83</v>
      </c>
      <c r="O156" s="4">
        <f>+B163/2*B111</f>
        <v>547.72255750516615</v>
      </c>
      <c r="P156" s="4" t="s">
        <v>5</v>
      </c>
    </row>
    <row r="157" spans="1:16" x14ac:dyDescent="0.25">
      <c r="A157" s="68" t="s">
        <v>64</v>
      </c>
      <c r="B157" s="55">
        <f>+C17*12/2-C42/2+C11</f>
        <v>3.5</v>
      </c>
      <c r="C157" s="48" t="s">
        <v>0</v>
      </c>
      <c r="D157" s="80"/>
      <c r="E157" s="49"/>
      <c r="F157" s="49"/>
      <c r="G157" s="49"/>
      <c r="H157" s="49"/>
      <c r="I157" s="50"/>
      <c r="L157" s="45" t="s">
        <v>64</v>
      </c>
      <c r="M157" s="80">
        <f>+C17*12/2-C42/2+C11+C17*12/2</f>
        <v>21.5</v>
      </c>
      <c r="N157" s="49" t="s">
        <v>0</v>
      </c>
    </row>
    <row r="158" spans="1:16" x14ac:dyDescent="0.25">
      <c r="A158" s="68" t="s">
        <v>65</v>
      </c>
      <c r="B158" s="58">
        <f>MAX(B157/B156,0)</f>
        <v>6.152764349125428E-2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  <c r="L158" s="45" t="s">
        <v>65</v>
      </c>
      <c r="M158" s="80">
        <f>MAX(M157/B156,0)</f>
        <v>0.37795552430341917</v>
      </c>
      <c r="N158" s="49"/>
    </row>
    <row r="159" spans="1:16" ht="18" x14ac:dyDescent="0.35">
      <c r="A159" s="68" t="s">
        <v>58</v>
      </c>
      <c r="B159" s="79">
        <f>12*1.6*C13-1.6*0.15*C21*C22*C20/12*((C22/2-C42/2/12)/C22)+1.6*U26*U27*C20/12*0.15</f>
        <v>2188.5117583010137</v>
      </c>
      <c r="C159" s="48" t="s">
        <v>18</v>
      </c>
      <c r="D159" s="80"/>
      <c r="E159" s="49"/>
      <c r="F159" s="80"/>
      <c r="G159" s="49"/>
      <c r="H159" s="49"/>
      <c r="I159" s="50"/>
      <c r="L159" s="45" t="s">
        <v>58</v>
      </c>
      <c r="M159" s="49">
        <f>8*1.6*C13-1.6*0.15*C21*C22*C20/12*((C22/2-C42/2/12)/C22)</f>
        <v>1410.8240133333334</v>
      </c>
      <c r="N159" s="49" t="s">
        <v>8</v>
      </c>
    </row>
    <row r="160" spans="1:16" ht="18" x14ac:dyDescent="0.35">
      <c r="A160" s="68" t="s">
        <v>26</v>
      </c>
      <c r="B160" s="79">
        <f>1.6*C13*(4*B157)+1.6*C13*(2*(B157+0.5*C17*12))+1.6*C13*(4*(B157+1*C17*12))+1.6*C13*(2*(B157+1.5*C17*12))-1.6*0.15*C21*C22*C20/12*((C22/2-C42/2/12)/C22)*(C22/2-C42/2/12)*12/2+1.6*U26*U27*C20/12*0.15*(C22*12/2-U27*12/3)</f>
        <v>59774.381288343677</v>
      </c>
      <c r="C160" s="48" t="s">
        <v>27</v>
      </c>
      <c r="D160" s="80"/>
      <c r="E160" s="49"/>
      <c r="F160" s="80"/>
      <c r="G160" s="49"/>
      <c r="H160" s="49"/>
      <c r="I160" s="50"/>
      <c r="L160" s="45" t="s">
        <v>26</v>
      </c>
      <c r="M160" s="49">
        <f>1.6*C13*(2*(M157))+1.6*C13*(4*(M157+C17*12*0.5))+1.6*C13*(2*(M157+C17*12*1))-1.6*0.15*C21*C22*C20/12*((C22/2-C42/2/12)/C22)*(C22/2-C42/2/12)*12/2</f>
        <v>56322.134463333336</v>
      </c>
      <c r="N160" s="49" t="s">
        <v>27</v>
      </c>
    </row>
    <row r="161" spans="1:32" ht="18" x14ac:dyDescent="0.35">
      <c r="A161" s="68" t="s">
        <v>66</v>
      </c>
      <c r="B161" s="58">
        <f>+B159*B156/B160</f>
        <v>2.0827232116450207</v>
      </c>
      <c r="C161" s="48"/>
      <c r="D161" s="80"/>
      <c r="E161" s="80"/>
      <c r="F161" s="80"/>
      <c r="G161" s="49"/>
      <c r="H161" s="49"/>
      <c r="I161" s="50"/>
      <c r="L161" s="45" t="s">
        <v>66</v>
      </c>
      <c r="M161" s="80">
        <f>+M159*B156/M160</f>
        <v>1.4249233407642579</v>
      </c>
      <c r="N161" s="80"/>
    </row>
    <row r="162" spans="1:32" ht="18" x14ac:dyDescent="0.35">
      <c r="A162" s="68" t="s">
        <v>447</v>
      </c>
      <c r="B162" s="58">
        <f>1/B161</f>
        <v>0.48014061321675039</v>
      </c>
      <c r="C162" s="48"/>
      <c r="D162" s="80"/>
      <c r="E162" s="80"/>
      <c r="F162" s="80"/>
      <c r="G162" s="49"/>
      <c r="H162" s="49"/>
      <c r="I162" s="50"/>
      <c r="L162" s="45" t="s">
        <v>67</v>
      </c>
      <c r="M162" s="80">
        <f>1/M161</f>
        <v>0.70179213954320507</v>
      </c>
      <c r="N162" s="8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  <c r="L163" s="45" t="s">
        <v>6</v>
      </c>
      <c r="M163" s="80">
        <f>+MIN(1/M158*(3.5-2.5*M162)*(1.9+0.1*M161),10)</f>
        <v>9.4328837050550653</v>
      </c>
      <c r="N163" s="80"/>
    </row>
    <row r="164" spans="1:32" ht="18" x14ac:dyDescent="0.35">
      <c r="A164" s="68" t="s">
        <v>12</v>
      </c>
      <c r="B164" s="79">
        <f>0.85*B163*(C9*1000)^0.5/1000*C21*12*B156</f>
        <v>5050.5318930084568</v>
      </c>
      <c r="C164" s="48" t="s">
        <v>18</v>
      </c>
      <c r="D164" s="49"/>
      <c r="E164" s="49"/>
      <c r="F164" s="49"/>
      <c r="G164" s="49"/>
      <c r="H164" s="49"/>
      <c r="I164" s="50"/>
      <c r="L164" s="45" t="s">
        <v>12</v>
      </c>
      <c r="M164" s="49">
        <f>0.85*M163*(C9*1000)^0.5/1000*C21*12*B156</f>
        <v>4764.1079995420396</v>
      </c>
      <c r="N164" s="49" t="s">
        <v>8</v>
      </c>
    </row>
    <row r="165" spans="1:32" ht="18" x14ac:dyDescent="0.35">
      <c r="A165" s="68" t="s">
        <v>14</v>
      </c>
      <c r="B165" s="74">
        <f>+B159/B164</f>
        <v>0.43332302511159476</v>
      </c>
      <c r="C165" s="49"/>
      <c r="D165" s="110" t="s">
        <v>282</v>
      </c>
      <c r="F165" s="4" t="s">
        <v>14</v>
      </c>
      <c r="G165" s="88">
        <f>+IF(B157&gt;0,B165,M165)</f>
        <v>0.43332302511159476</v>
      </c>
      <c r="H165" s="49"/>
      <c r="I165" s="50"/>
      <c r="L165" s="45" t="s">
        <v>14</v>
      </c>
      <c r="M165" s="49">
        <f>+M159/M164</f>
        <v>0.2961360266116872</v>
      </c>
      <c r="N165" s="49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58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+C22*C21*C20/12/27-2*U26*U27*C20/12/27</f>
        <v>45.372646614913577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29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66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12025.662</v>
      </c>
      <c r="U171" s="4" t="s">
        <v>35</v>
      </c>
    </row>
    <row r="172" spans="1:32" ht="18.75" x14ac:dyDescent="0.35">
      <c r="A172" s="45"/>
      <c r="B172" s="53">
        <f>+C65</f>
        <v>22</v>
      </c>
      <c r="C172" s="48" t="s">
        <v>71</v>
      </c>
      <c r="D172" s="83" t="str">
        <f>"#"&amp;+C23</f>
        <v>#11</v>
      </c>
      <c r="E172" s="49" t="s">
        <v>72</v>
      </c>
      <c r="F172" s="49" t="s">
        <v>73</v>
      </c>
      <c r="G172" s="57">
        <f>+C22-0.5</f>
        <v>14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13.279075405578503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1.7281312499999999</v>
      </c>
      <c r="H173" s="48" t="s">
        <v>74</v>
      </c>
      <c r="I173" s="50"/>
      <c r="Q173" s="4" t="s">
        <v>7</v>
      </c>
      <c r="R173" s="4">
        <f>+R172*T171/1000</f>
        <v>2634.6905385330765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1636.4381759687499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2239.4869577531149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159.6896725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22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15.391999999999999</v>
      </c>
      <c r="H176" s="48" t="s">
        <v>74</v>
      </c>
      <c r="I176" s="50"/>
      <c r="Q176" s="4" t="s">
        <v>14</v>
      </c>
      <c r="R176" s="4">
        <f>+R175/R174</f>
        <v>7.1306364141641265E-2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1799.1468860365001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58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3435.5850620052497</v>
      </c>
      <c r="D180" s="48" t="s">
        <v>78</v>
      </c>
      <c r="E180" s="49" t="s">
        <v>79</v>
      </c>
      <c r="F180" s="88">
        <f>+C180/2000</f>
        <v>1.7177925310026247</v>
      </c>
      <c r="G180" s="48" t="s">
        <v>19</v>
      </c>
      <c r="H180" s="49"/>
      <c r="I180" s="50"/>
      <c r="Q180" s="4" t="s">
        <v>54</v>
      </c>
      <c r="T180" s="4">
        <f>+T179/2</f>
        <v>29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207.339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16201.662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20.321968974541008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3549.6062985897061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3017.1653538012501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329.24967249999997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0.10912549823800233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58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29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81.83475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4746.4155000000001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36.332136983161291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1039.8875346568648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883.90440445833508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172.44741812499998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0.19509736262789343</v>
      </c>
      <c r="T199" s="4" t="s">
        <v>146</v>
      </c>
      <c r="V199" s="4">
        <f>+(C18*C18+C18*T170+3.1415*T170^2/4/4)/144</f>
        <v>14.376898437500001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58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76.425999999999988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4432.7079999999996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40.203228271232383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485.57883248672198</v>
      </c>
      <c r="S207" s="4" t="s">
        <v>8</v>
      </c>
      <c r="T207" s="4" t="s">
        <v>93</v>
      </c>
    </row>
    <row r="208" spans="1:58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412.74200761371367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178.20917158371793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0.43176892173889014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ColWidth="9.7109375" defaultRowHeight="15" x14ac:dyDescent="0.25"/>
  <cols>
    <col min="1" max="1" width="12" style="4" customWidth="1"/>
    <col min="2" max="2" width="14.5703125" style="4" customWidth="1"/>
    <col min="3" max="3" width="9.7109375" style="4"/>
    <col min="4" max="6" width="9.140625" style="4" customWidth="1"/>
    <col min="7" max="7" width="7.85546875" style="4" customWidth="1"/>
    <col min="8" max="9" width="9.140625" style="4" customWidth="1"/>
    <col min="10" max="38" width="0" style="4" hidden="1" customWidth="1"/>
    <col min="39" max="16384" width="9.7109375" style="4"/>
  </cols>
  <sheetData>
    <row r="1" spans="1:17" ht="15.6" x14ac:dyDescent="0.35">
      <c r="A1" s="15" t="s">
        <v>347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60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120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8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15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v>55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18.678525000000004</v>
      </c>
    </row>
    <row r="20" spans="1:17" ht="18" x14ac:dyDescent="0.35">
      <c r="A20" s="45"/>
      <c r="B20" s="46" t="s">
        <v>425</v>
      </c>
      <c r="C20" s="56">
        <v>68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17" x14ac:dyDescent="0.25">
      <c r="A21" s="45"/>
      <c r="B21" s="46" t="s">
        <v>426</v>
      </c>
      <c r="C21" s="53">
        <f>2*C18/12+1*C17+4*0.866*C17</f>
        <v>15.891999999999999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1.27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2*C18/12+4*C17</f>
        <v>14.5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1.2667313375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17" x14ac:dyDescent="0.25">
      <c r="A23" s="45"/>
      <c r="B23" s="46" t="s">
        <v>428</v>
      </c>
      <c r="C23" s="47">
        <v>10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56.955000000000005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58.295000000000002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58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9.027166454840966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8</v>
      </c>
    </row>
    <row r="30" spans="1:17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58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29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66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applicable",IF(B139&lt;1,"OK","NG"))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12025.662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13.279075405578503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2634.6905385330765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2239.4869577531149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159.6896725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1.6*28*C13-1.6*C21*C22*C20/12*0.15</f>
        <v>5062.6097600000012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7.1306364141641265E-2</v>
      </c>
    </row>
    <row r="41" spans="1:25" x14ac:dyDescent="0.25">
      <c r="A41" s="45"/>
      <c r="B41" s="46" t="s">
        <v>433</v>
      </c>
      <c r="C41" s="58">
        <f>+(C40/4)^0.5</f>
        <v>35.576009332132806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36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1.6*C13*(2*(0.5*C17*12+C11-C42/4))+1.6*C13*(4*(1*C17*12+C11-C42/4))+1.6*C13*(2*(1.5*C17*12+C11-C42/4))+1.6*C13*(4*(2*C17*12+C11-C42/4))-1.6*(C22/2-C42/12/4)*C21*C20/12*0.15*(C22/2-C42/12/4)*12/2</f>
        <v>91289.074080000006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5744.3414346841182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56.955000000000005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1.9391420507599797</v>
      </c>
      <c r="D48" s="48" t="s">
        <v>435</v>
      </c>
      <c r="E48" s="49"/>
      <c r="F48" s="49"/>
      <c r="G48" s="49"/>
      <c r="H48" s="49"/>
      <c r="I48" s="50"/>
    </row>
    <row r="49" spans="1:15" ht="18" x14ac:dyDescent="0.35">
      <c r="A49" s="45"/>
      <c r="B49" s="46" t="s">
        <v>39</v>
      </c>
      <c r="C49" s="58">
        <f>+C48*C21</f>
        <v>30.816845470677595</v>
      </c>
      <c r="D49" s="48" t="s">
        <v>436</v>
      </c>
      <c r="E49" s="49"/>
      <c r="F49" s="49"/>
      <c r="G49" s="49"/>
      <c r="H49" s="49"/>
      <c r="I49" s="50"/>
    </row>
    <row r="50" spans="1:15" ht="18" x14ac:dyDescent="0.35">
      <c r="A50" s="45"/>
      <c r="B50" s="46" t="s">
        <v>43</v>
      </c>
      <c r="C50" s="58">
        <f>+C49*4/3</f>
        <v>41.089127294236796</v>
      </c>
      <c r="D50" s="48" t="s">
        <v>436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29.745569644256129</v>
      </c>
      <c r="D51" s="48" t="s">
        <v>436</v>
      </c>
      <c r="E51" s="49"/>
      <c r="F51" s="49"/>
      <c r="G51" s="49"/>
      <c r="H51" s="49"/>
      <c r="I51" s="50"/>
    </row>
    <row r="52" spans="1:15" ht="18" x14ac:dyDescent="0.35">
      <c r="A52" s="45"/>
      <c r="B52" s="46" t="s">
        <v>438</v>
      </c>
      <c r="C52" s="58">
        <f>200*C21*12*C47/C10/1000</f>
        <v>36.205154400000005</v>
      </c>
      <c r="D52" s="48" t="s">
        <v>436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36.205154400000005</v>
      </c>
      <c r="D53" s="48" t="s">
        <v>436</v>
      </c>
      <c r="E53" s="49"/>
      <c r="F53" s="49"/>
      <c r="G53" s="49"/>
      <c r="H53" s="49"/>
      <c r="I53" s="50"/>
    </row>
    <row r="54" spans="1:15" ht="18" x14ac:dyDescent="0.35">
      <c r="A54" s="45"/>
      <c r="B54" s="46" t="s">
        <v>439</v>
      </c>
      <c r="C54" s="58">
        <f>+IF(C10=60,0.0018*C21*12*C20,0.002*C21*12*C20)</f>
        <v>23.342169599999998</v>
      </c>
      <c r="D54" s="48" t="s">
        <v>436</v>
      </c>
      <c r="E54" s="49"/>
      <c r="F54" s="49"/>
      <c r="G54" s="49"/>
      <c r="H54" s="49"/>
      <c r="I54" s="50"/>
    </row>
    <row r="55" spans="1:15" ht="18" x14ac:dyDescent="0.35">
      <c r="A55" s="45"/>
      <c r="B55" s="46" t="s">
        <v>41</v>
      </c>
      <c r="C55" s="74">
        <f>+IF(C49&gt;C53,C49,IF(C50&gt;C53,C53,IF(C50&gt;C54,C50,C54)))</f>
        <v>36.205154400000005</v>
      </c>
      <c r="D55" s="48" t="s">
        <v>436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1.0959999999999999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0.95419847328244267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6.7938518518518514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32.228304041853661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3.6349999999999998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36.205154400000005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3.3969259259259257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3.3969259259259257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41.736458881893654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66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28.581557373842113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28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2.5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41.736458881893654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66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1.6*C13*(5*(C17*12/2+C11-C42/4))+1.6*C13*(4*((0.5+0.866)*C17*12+C11-C42/4))+1.6*C13*(5*((0.5+0.866+0.866)*C17*12+C11-C42/4))-1.6*(C21/2-C42/12/4)*C22*C20/12*0.15*(C21/2-C42/12/4)*12/2</f>
        <v>109930.19253888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7581.3925888882759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58.295000000000002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" x14ac:dyDescent="0.35">
      <c r="A71" s="45"/>
      <c r="B71" s="46" t="s">
        <v>40</v>
      </c>
      <c r="C71" s="58">
        <f>IF(C9=3,0.51*C70-(0.26*C70^2-0.0189*C69)^0.5,0.68*C70-(0.462*C70^2-0.0252*C69)^0.5)</f>
        <v>2.5225190501829644</v>
      </c>
      <c r="D71" s="48" t="s">
        <v>435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7.5722727272727273</v>
      </c>
      <c r="N71" s="111" t="s">
        <v>0</v>
      </c>
      <c r="O71" s="111"/>
    </row>
    <row r="72" spans="1:15" ht="18" x14ac:dyDescent="0.35">
      <c r="A72" s="45"/>
      <c r="B72" s="46" t="s">
        <v>39</v>
      </c>
      <c r="C72" s="58">
        <f>+C71*C22</f>
        <v>36.576526227652984</v>
      </c>
      <c r="D72" s="48" t="s">
        <v>436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" x14ac:dyDescent="0.35">
      <c r="A73" s="45"/>
      <c r="B73" s="46" t="s">
        <v>43</v>
      </c>
      <c r="C73" s="58">
        <f>+C72*4/3</f>
        <v>48.768701636870645</v>
      </c>
      <c r="D73" s="48" t="s">
        <v>436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3.7050000000000001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27.77865324609439</v>
      </c>
      <c r="D74" s="48" t="s">
        <v>436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" x14ac:dyDescent="0.35">
      <c r="A75" s="45"/>
      <c r="B75" s="46" t="s">
        <v>438</v>
      </c>
      <c r="C75" s="58">
        <f>200*C22*12*C70/C10/1000</f>
        <v>33.811099999999996</v>
      </c>
      <c r="D75" s="48" t="s">
        <v>436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33.811099999999996</v>
      </c>
      <c r="D76" s="48" t="s">
        <v>436</v>
      </c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" x14ac:dyDescent="0.35">
      <c r="A77" s="45"/>
      <c r="B77" s="46" t="s">
        <v>439</v>
      </c>
      <c r="C77" s="58">
        <f>+IF(C10=60,0.0018*C22*12*C20,0.002*C22*12*C20)</f>
        <v>21.297599999999999</v>
      </c>
      <c r="D77" s="48" t="s">
        <v>436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" x14ac:dyDescent="0.35">
      <c r="A78" s="45"/>
      <c r="B78" s="46" t="s">
        <v>41</v>
      </c>
      <c r="C78" s="58">
        <f>+IF(C72&gt;C76,C72,IF(C73&gt;C76,C76,IF(C73&gt;C77,C73,C77)))</f>
        <v>36.576526227652984</v>
      </c>
      <c r="D78" s="48" t="s">
        <v>436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2.5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3.7050000000000001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46.337328364937051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46.337328364937051</v>
      </c>
      <c r="D80" s="48" t="s">
        <v>0</v>
      </c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74.352000000000004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74.352000000000004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23.425407741494318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23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58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47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29</v>
      </c>
      <c r="C87" s="48" t="s">
        <v>0</v>
      </c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+C17*12/2+C11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+IF(M86&gt;O93,0,IF(M86&gt;O90,10,IF(M86&gt;O89,14,IF(M86&gt;O92,18,IF(M86&gt;O88,22,IF(M86&gt;O91,26,28))))))</f>
        <v>22</v>
      </c>
      <c r="G88" s="49"/>
      <c r="H88" s="49"/>
      <c r="I88" s="50"/>
      <c r="J88" s="4" t="s">
        <v>273</v>
      </c>
      <c r="K88" s="64"/>
      <c r="L88" s="64"/>
      <c r="M88" s="64"/>
      <c r="N88" s="64"/>
      <c r="O88" s="64">
        <f>C17*12+C11</f>
        <v>39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277</v>
      </c>
      <c r="K89" s="64"/>
      <c r="L89" s="64"/>
      <c r="M89" s="64"/>
      <c r="N89" s="64"/>
      <c r="O89" s="64">
        <f>1.5*C17*12+C11</f>
        <v>57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376</v>
      </c>
      <c r="C90" s="48" t="s">
        <v>0</v>
      </c>
      <c r="D90" s="49"/>
      <c r="E90" s="49"/>
      <c r="F90" s="49"/>
      <c r="G90" s="49"/>
      <c r="H90" s="49"/>
      <c r="I90" s="50"/>
      <c r="J90" s="4" t="s">
        <v>278</v>
      </c>
      <c r="K90" s="64"/>
      <c r="L90" s="64"/>
      <c r="M90" s="64"/>
      <c r="N90" s="64"/>
      <c r="O90" s="64">
        <f>2*C17*12+C11</f>
        <v>75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4777.8934136290654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57</v>
      </c>
      <c r="K91" s="64"/>
      <c r="L91" s="64"/>
      <c r="M91" s="64"/>
      <c r="N91" s="64"/>
      <c r="O91" s="64">
        <f>+C17*12/2+C11</f>
        <v>21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4061.2094015847056</v>
      </c>
      <c r="C92" s="48" t="s">
        <v>18</v>
      </c>
      <c r="D92" s="49"/>
      <c r="E92" s="49"/>
      <c r="F92" s="49"/>
      <c r="G92" s="49"/>
      <c r="H92" s="49"/>
      <c r="I92" s="50"/>
      <c r="J92" s="4" t="s">
        <v>248</v>
      </c>
      <c r="K92" s="64"/>
      <c r="L92" s="64"/>
      <c r="M92" s="64"/>
      <c r="N92" s="64"/>
      <c r="O92" s="64">
        <f>(0.5+0.866)*C17*12+C11</f>
        <v>52.176000000000009</v>
      </c>
      <c r="P92" s="4" t="s">
        <v>0</v>
      </c>
      <c r="Q92" s="4" t="s">
        <v>120</v>
      </c>
    </row>
    <row r="93" spans="1:17" ht="18" x14ac:dyDescent="0.35">
      <c r="A93" s="68" t="s">
        <v>58</v>
      </c>
      <c r="B93" s="79">
        <f>+E88*1.6*C13-1.6*0.15*C21*C22*C20/12+1.6*0.15*(2*M86)/12*(2*M86)/12*C20/12</f>
        <v>3994.0608711111108</v>
      </c>
      <c r="C93" s="48" t="s">
        <v>18</v>
      </c>
      <c r="D93" s="49" t="s">
        <v>132</v>
      </c>
      <c r="E93" s="49"/>
      <c r="F93" s="49"/>
      <c r="G93" s="49"/>
      <c r="H93" s="49"/>
      <c r="I93" s="50"/>
      <c r="J93" s="4" t="s">
        <v>275</v>
      </c>
      <c r="K93" s="64"/>
      <c r="L93" s="64"/>
      <c r="M93" s="64"/>
      <c r="N93" s="64"/>
      <c r="O93" s="64">
        <f>(0.5+0.866+0.866)*C17*12+C11</f>
        <v>83.352000000000004</v>
      </c>
      <c r="P93" s="4" t="s">
        <v>0</v>
      </c>
      <c r="Q93" s="4" t="s">
        <v>120</v>
      </c>
    </row>
    <row r="94" spans="1:17" ht="18" x14ac:dyDescent="0.35">
      <c r="A94" s="68" t="s">
        <v>14</v>
      </c>
      <c r="B94" s="74">
        <f>+B93/B92</f>
        <v>0.9834658783052671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  <c r="L95" s="4" t="s">
        <v>83</v>
      </c>
      <c r="O95" s="4">
        <f>+B89</f>
        <v>219.08902300206645</v>
      </c>
      <c r="P95" s="4" t="s">
        <v>5</v>
      </c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58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76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+IF(M98&gt;O101,0,IF(M98&gt;O100,5,IF(M98&gt;O99,9,14)))</f>
        <v>5</v>
      </c>
      <c r="G99" s="49"/>
      <c r="H99" s="49"/>
      <c r="I99" s="50"/>
      <c r="J99" s="4" t="s">
        <v>57</v>
      </c>
      <c r="K99" s="64"/>
      <c r="L99" s="64"/>
      <c r="M99" s="64"/>
      <c r="N99" s="64"/>
      <c r="O99" s="64">
        <f>+C17*12/2+C11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248</v>
      </c>
      <c r="K100" s="64"/>
      <c r="L100" s="64"/>
      <c r="M100" s="64"/>
      <c r="N100" s="64"/>
      <c r="O100" s="64">
        <f>(0.5+0.866)*C17*12+C11</f>
        <v>52.176000000000009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10092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275</v>
      </c>
      <c r="K101" s="64"/>
      <c r="L101" s="64"/>
      <c r="M101" s="64"/>
      <c r="N101" s="64"/>
      <c r="O101" s="64">
        <f>(0.5+0.866+0.866)*C17*12+C11</f>
        <v>83.352000000000004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1105.5232100684273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939.69472855816309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928.19821333333334</v>
      </c>
      <c r="C104" s="48" t="s">
        <v>18</v>
      </c>
      <c r="D104" s="49" t="s">
        <v>132</v>
      </c>
      <c r="E104" s="49"/>
      <c r="F104" s="49"/>
      <c r="G104" s="49"/>
      <c r="H104" s="49"/>
      <c r="I104" s="50"/>
      <c r="L104" s="4" t="s">
        <v>83</v>
      </c>
      <c r="O104" s="4">
        <f>+B100</f>
        <v>109.54451150103323</v>
      </c>
      <c r="P104" s="4" t="s">
        <v>5</v>
      </c>
    </row>
    <row r="105" spans="1:17" ht="18" x14ac:dyDescent="0.35">
      <c r="A105" s="68" t="s">
        <v>14</v>
      </c>
      <c r="B105" s="74">
        <f>+B104/B103</f>
        <v>0.98776569147890225</v>
      </c>
      <c r="C105" s="49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58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76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+IF(M109&gt;O113,0,IF(M109&gt;O112,4,IF(M109&gt;O111,6,IF(M109&gt;O111,10,12))))</f>
        <v>0</v>
      </c>
      <c r="G110" s="49"/>
      <c r="H110" s="49"/>
      <c r="I110" s="50"/>
      <c r="J110" s="4" t="s">
        <v>56</v>
      </c>
      <c r="K110" s="64"/>
      <c r="L110" s="64"/>
      <c r="M110" s="64"/>
      <c r="N110" s="64"/>
      <c r="O110" s="64">
        <f>+C17*12/2+C11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273</v>
      </c>
      <c r="K111" s="64"/>
      <c r="L111" s="64"/>
      <c r="M111" s="64"/>
      <c r="N111" s="64"/>
      <c r="O111" s="64">
        <f>+C17*12+C11</f>
        <v>39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+C21*12*B109</f>
        <v>11060.832</v>
      </c>
      <c r="C112" s="48" t="s">
        <v>436</v>
      </c>
      <c r="D112" s="49"/>
      <c r="E112" s="49"/>
      <c r="F112" s="49"/>
      <c r="G112" s="49"/>
      <c r="H112" s="49"/>
      <c r="I112" s="50"/>
      <c r="J112" s="4" t="s">
        <v>277</v>
      </c>
      <c r="K112" s="64"/>
      <c r="L112" s="64"/>
      <c r="M112" s="64"/>
      <c r="N112" s="64"/>
      <c r="O112" s="4">
        <f>1.5*C17*12+C11</f>
        <v>57</v>
      </c>
      <c r="Q112" s="4" t="s">
        <v>120</v>
      </c>
    </row>
    <row r="113" spans="1:23" ht="18.75" x14ac:dyDescent="0.35">
      <c r="A113" s="68" t="s">
        <v>7</v>
      </c>
      <c r="B113" s="79">
        <f>+B111*B112/1000</f>
        <v>1211.6534382349962</v>
      </c>
      <c r="C113" s="48" t="s">
        <v>18</v>
      </c>
      <c r="D113" s="49" t="s">
        <v>63</v>
      </c>
      <c r="E113" s="49"/>
      <c r="F113" s="49"/>
      <c r="G113" s="49"/>
      <c r="H113" s="49"/>
      <c r="I113" s="50"/>
      <c r="J113" s="4" t="s">
        <v>278</v>
      </c>
      <c r="K113" s="64"/>
      <c r="L113" s="64"/>
      <c r="M113" s="64"/>
      <c r="N113" s="64"/>
      <c r="O113" s="4">
        <f>2*C17*12+C11</f>
        <v>75</v>
      </c>
      <c r="Q113" s="4" t="s">
        <v>120</v>
      </c>
    </row>
    <row r="114" spans="1:23" ht="18" x14ac:dyDescent="0.35">
      <c r="A114" s="68" t="s">
        <v>12</v>
      </c>
      <c r="B114" s="79">
        <f>+B113*0.85</f>
        <v>1029.9054224997467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-19.812026666666672</v>
      </c>
      <c r="C115" s="48" t="s">
        <v>18</v>
      </c>
      <c r="D115" s="49" t="s">
        <v>132</v>
      </c>
      <c r="E115" s="49"/>
      <c r="F115" s="49"/>
      <c r="G115" s="49"/>
      <c r="H115" s="49"/>
      <c r="I115" s="50"/>
      <c r="L115" s="4" t="s">
        <v>83</v>
      </c>
      <c r="O115" s="4">
        <f>+B111</f>
        <v>109.54451150103323</v>
      </c>
      <c r="P115" s="4" t="s">
        <v>5</v>
      </c>
    </row>
    <row r="116" spans="1:23" ht="18" x14ac:dyDescent="0.35">
      <c r="A116" s="68" t="s">
        <v>14</v>
      </c>
      <c r="B116" s="74">
        <f>+B115/B114</f>
        <v>-1.9236743718252968E-2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3</v>
      </c>
      <c r="W126" s="4" t="s">
        <v>0</v>
      </c>
    </row>
    <row r="127" spans="1:23" ht="18" x14ac:dyDescent="0.35">
      <c r="A127" s="68" t="s">
        <v>1</v>
      </c>
      <c r="B127" s="53">
        <f>+B86</f>
        <v>58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5074.8497600000001</v>
      </c>
      <c r="W127" s="49" t="s">
        <v>8</v>
      </c>
    </row>
    <row r="128" spans="1:23" ht="18.75" x14ac:dyDescent="0.35">
      <c r="A128" s="68" t="s">
        <v>54</v>
      </c>
      <c r="B128" s="54">
        <f>+B127/2</f>
        <v>29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4" ht="18.75" x14ac:dyDescent="0.35">
      <c r="A129" s="68"/>
      <c r="B129" s="49"/>
      <c r="C129" s="48"/>
      <c r="D129" s="46" t="s">
        <v>453</v>
      </c>
      <c r="E129" s="83">
        <v>28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4" ht="18" x14ac:dyDescent="0.35">
      <c r="A130" s="68" t="s">
        <v>454</v>
      </c>
      <c r="B130" s="57">
        <f>+C17*12/2-C42/2+C11</f>
        <v>3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+C17*12/2-C42/2+C11</f>
        <v>3</v>
      </c>
      <c r="S130" s="4" t="s">
        <v>0</v>
      </c>
      <c r="U130" s="49" t="s">
        <v>11</v>
      </c>
      <c r="V130" s="49">
        <f>+B134</f>
        <v>376</v>
      </c>
      <c r="W130" s="49" t="s">
        <v>0</v>
      </c>
    </row>
    <row r="131" spans="1:24" ht="18" x14ac:dyDescent="0.35">
      <c r="A131" s="68" t="s">
        <v>13</v>
      </c>
      <c r="B131" s="79">
        <f>+C13*E129*1.6-1.6*0.15*C21*C22*C20/12+1.6*0.15*(C42)/12*(C42)/12*C20/12</f>
        <v>5074.8497600000001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</f>
        <v>5074.8497600000001</v>
      </c>
      <c r="S131" s="49" t="s">
        <v>8</v>
      </c>
      <c r="T131" s="49"/>
      <c r="U131" s="49" t="s">
        <v>2</v>
      </c>
      <c r="V131" s="49">
        <f>+B135</f>
        <v>144</v>
      </c>
      <c r="W131" s="49" t="s">
        <v>0</v>
      </c>
      <c r="X131" s="49"/>
    </row>
    <row r="132" spans="1:24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32</v>
      </c>
      <c r="W132" s="49"/>
      <c r="X132" s="49"/>
    </row>
    <row r="133" spans="1:24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14638.652160906071</v>
      </c>
      <c r="W133" s="49" t="s">
        <v>8</v>
      </c>
      <c r="X133" s="49"/>
    </row>
    <row r="134" spans="1:24" ht="18" x14ac:dyDescent="0.35">
      <c r="A134" s="68" t="s">
        <v>11</v>
      </c>
      <c r="B134" s="58">
        <f>4*(B127+C42)</f>
        <v>376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376</v>
      </c>
      <c r="S134" s="49" t="s">
        <v>0</v>
      </c>
      <c r="T134" s="49"/>
      <c r="U134" s="45" t="s">
        <v>12</v>
      </c>
      <c r="V134" s="49">
        <f>+V133*0.85</f>
        <v>12442.85433677016</v>
      </c>
      <c r="W134" s="49" t="s">
        <v>8</v>
      </c>
      <c r="X134" s="49"/>
    </row>
    <row r="135" spans="1:24" ht="18" x14ac:dyDescent="0.35">
      <c r="A135" s="68" t="s">
        <v>2</v>
      </c>
      <c r="B135" s="58">
        <f>4*C42</f>
        <v>144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144</v>
      </c>
      <c r="S135" s="49" t="s">
        <v>0</v>
      </c>
      <c r="T135" s="49"/>
      <c r="U135" s="45" t="s">
        <v>14</v>
      </c>
      <c r="V135" s="49">
        <f>+V127/V134</f>
        <v>0.40785254111696839</v>
      </c>
      <c r="W135" s="49"/>
      <c r="X135" s="49"/>
    </row>
    <row r="136" spans="1:24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32</v>
      </c>
      <c r="S136" s="49"/>
      <c r="T136" s="49"/>
      <c r="U136" s="45"/>
      <c r="V136" s="49"/>
      <c r="W136" s="49"/>
      <c r="X136" s="49"/>
    </row>
    <row r="137" spans="1:24" ht="18.75" x14ac:dyDescent="0.35">
      <c r="A137" s="68" t="s">
        <v>7</v>
      </c>
      <c r="B137" s="79">
        <f>+B136*(C9*1000)^0.5*B135*B127/1000</f>
        <v>14638.652160906071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32</v>
      </c>
      <c r="Q137" s="49" t="s">
        <v>7</v>
      </c>
      <c r="R137" s="49">
        <f>+R136*(C9*1000)^0.5*R135*B127/1000</f>
        <v>14638.652160906071</v>
      </c>
      <c r="S137" s="49" t="s">
        <v>8</v>
      </c>
      <c r="T137" s="49"/>
      <c r="U137" s="45"/>
      <c r="V137" s="49"/>
      <c r="W137" s="49"/>
      <c r="X137" s="49"/>
    </row>
    <row r="138" spans="1:24" ht="18" x14ac:dyDescent="0.35">
      <c r="A138" s="68" t="s">
        <v>12</v>
      </c>
      <c r="B138" s="79">
        <f>+B137*0.85</f>
        <v>12442.85433677016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14638.652160906071</v>
      </c>
      <c r="Q138" s="49" t="s">
        <v>12</v>
      </c>
      <c r="R138" s="49">
        <f>+R137*0.85</f>
        <v>12442.85433677016</v>
      </c>
      <c r="S138" s="49" t="s">
        <v>8</v>
      </c>
      <c r="T138" s="49"/>
      <c r="U138" s="45"/>
      <c r="V138" s="49"/>
      <c r="W138" s="49"/>
      <c r="X138" s="49"/>
    </row>
    <row r="139" spans="1:24" ht="18" x14ac:dyDescent="0.35">
      <c r="A139" s="68" t="s">
        <v>14</v>
      </c>
      <c r="B139" s="74">
        <f>+B131/B138</f>
        <v>0.40785254111696839</v>
      </c>
      <c r="C139" s="48"/>
      <c r="D139" s="110"/>
      <c r="H139" s="49"/>
      <c r="I139" s="50"/>
      <c r="K139" s="4">
        <f>+R131/K138</f>
        <v>0.34667465994942309</v>
      </c>
      <c r="Q139" s="49" t="s">
        <v>14</v>
      </c>
      <c r="R139" s="49">
        <f>+R131/R138</f>
        <v>0.40785254111696839</v>
      </c>
      <c r="S139" s="49"/>
      <c r="T139" s="49"/>
      <c r="U139" s="45"/>
      <c r="V139" s="49"/>
      <c r="W139" s="49"/>
      <c r="X139" s="49"/>
    </row>
    <row r="140" spans="1:24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4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  <c r="V141" s="4">
        <f>+(V139+X139)/2</f>
        <v>0</v>
      </c>
    </row>
    <row r="142" spans="1:24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4" x14ac:dyDescent="0.25">
      <c r="A143" s="68" t="s">
        <v>1</v>
      </c>
      <c r="B143" s="53">
        <f>+C20-C14-C15-P21/2</f>
        <v>58.295000000000002</v>
      </c>
      <c r="C143" s="48" t="s">
        <v>0</v>
      </c>
      <c r="D143" s="49"/>
      <c r="E143" s="49"/>
      <c r="F143" s="49"/>
      <c r="G143" s="49"/>
      <c r="H143" s="49"/>
      <c r="I143" s="50"/>
      <c r="L143" s="4" t="s">
        <v>83</v>
      </c>
      <c r="O143" s="4">
        <f>+B150/2*B100</f>
        <v>547.72255750516615</v>
      </c>
      <c r="P143" s="4" t="s">
        <v>5</v>
      </c>
    </row>
    <row r="144" spans="1:24" x14ac:dyDescent="0.25">
      <c r="A144" s="68" t="s">
        <v>64</v>
      </c>
      <c r="B144" s="58">
        <f>+C17*12/2-C42/2+C11</f>
        <v>3</v>
      </c>
      <c r="C144" s="48" t="s">
        <v>0</v>
      </c>
      <c r="D144" s="80"/>
      <c r="E144" s="49"/>
      <c r="F144" s="49"/>
      <c r="G144" s="49"/>
      <c r="H144" s="49"/>
      <c r="I144" s="50"/>
      <c r="L144" s="45" t="s">
        <v>64</v>
      </c>
      <c r="M144" s="80">
        <f>+C17*12/2-C42/2+C11+0.866*C17*12</f>
        <v>34.176000000000002</v>
      </c>
      <c r="N144" s="49" t="s">
        <v>0</v>
      </c>
    </row>
    <row r="145" spans="1:16" x14ac:dyDescent="0.25">
      <c r="A145" s="68" t="s">
        <v>65</v>
      </c>
      <c r="B145" s="58">
        <f>MAX(B144/B143,0)</f>
        <v>5.1462389570289042E-2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  <c r="L145" s="45" t="s">
        <v>65</v>
      </c>
      <c r="M145" s="80">
        <f>MAX(M144/B143,0)</f>
        <v>0.58625954198473285</v>
      </c>
      <c r="N145" s="49"/>
    </row>
    <row r="146" spans="1:16" ht="18" x14ac:dyDescent="0.35">
      <c r="A146" s="68" t="s">
        <v>58</v>
      </c>
      <c r="B146" s="79">
        <f>14*1.6*C13-1.6*0.15*C21*C22*C20/12*((C21/2-C42/2/12)/C21)</f>
        <v>2560.8848800000005</v>
      </c>
      <c r="C146" s="48" t="s">
        <v>18</v>
      </c>
      <c r="D146" s="80"/>
      <c r="E146" s="49"/>
      <c r="F146" s="80"/>
      <c r="G146" s="49"/>
      <c r="H146" s="49"/>
      <c r="I146" s="50"/>
      <c r="L146" s="45" t="s">
        <v>58</v>
      </c>
      <c r="M146" s="49">
        <f>9*1.6*C13-1.6*0.15*C21*C22*C20/12*((C21/2-C42/2/12)/C21)</f>
        <v>1600.8848800000001</v>
      </c>
      <c r="N146" s="49" t="s">
        <v>8</v>
      </c>
    </row>
    <row r="147" spans="1:16" ht="18" x14ac:dyDescent="0.35">
      <c r="A147" s="68" t="s">
        <v>26</v>
      </c>
      <c r="B147" s="79">
        <f>1.6*C13*(5*B144)+1.6*C13*(4*(B144+C17*0.866*12))+1.6*C13*(5*(B144+2*0.866*C17*12))-1.6*0.15*C21*C22*C20/12*((C21/2-C42/2/12)/C21)*(C21/2-C42/2/12)*12/2</f>
        <v>86948.783618879999</v>
      </c>
      <c r="C147" s="48" t="s">
        <v>27</v>
      </c>
      <c r="D147" s="80"/>
      <c r="E147" s="49"/>
      <c r="F147" s="80"/>
      <c r="G147" s="49"/>
      <c r="H147" s="49"/>
      <c r="I147" s="50"/>
      <c r="L147" s="45" t="s">
        <v>26</v>
      </c>
      <c r="M147" s="49">
        <f>1.6*C13*(4*(M144))+1.6*C13*(5*(M144+0.866*C17*12))-1.6*0.15*C21*C22*C20/12*((C21/2-C42/2/12)/C21)*(C21/2-C42/2/12)*12/2</f>
        <v>84068.783618879999</v>
      </c>
      <c r="N147" s="49" t="s">
        <v>27</v>
      </c>
    </row>
    <row r="148" spans="1:16" ht="18" x14ac:dyDescent="0.35">
      <c r="A148" s="68" t="s">
        <v>66</v>
      </c>
      <c r="B148" s="58">
        <f>+B146*B143/B147</f>
        <v>1.7169508055910745</v>
      </c>
      <c r="C148" s="48"/>
      <c r="D148" s="80"/>
      <c r="E148" s="80"/>
      <c r="F148" s="80"/>
      <c r="G148" s="49"/>
      <c r="H148" s="49"/>
      <c r="I148" s="50"/>
      <c r="L148" s="45" t="s">
        <v>66</v>
      </c>
      <c r="M148" s="80">
        <f>+M146*B143/M147</f>
        <v>1.1100860517106566</v>
      </c>
      <c r="N148" s="80"/>
    </row>
    <row r="149" spans="1:16" ht="18" x14ac:dyDescent="0.35">
      <c r="A149" s="68" t="s">
        <v>447</v>
      </c>
      <c r="B149" s="58">
        <f>1/B148</f>
        <v>0.5824278696533427</v>
      </c>
      <c r="C149" s="48"/>
      <c r="D149" s="80"/>
      <c r="E149" s="80"/>
      <c r="F149" s="80"/>
      <c r="G149" s="49"/>
      <c r="H149" s="49"/>
      <c r="I149" s="50"/>
      <c r="L149" s="45" t="s">
        <v>67</v>
      </c>
      <c r="M149" s="80">
        <f>1/M148</f>
        <v>0.9008310648160901</v>
      </c>
      <c r="N149" s="8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  <c r="L150" s="45" t="s">
        <v>6</v>
      </c>
      <c r="M150" s="80">
        <f>+MIN(1/M145*(3.5-2.5*M149)*(1.9+0.1*M148),10)</f>
        <v>4.2806681691291866</v>
      </c>
      <c r="N150" s="80"/>
    </row>
    <row r="151" spans="1:16" ht="18" x14ac:dyDescent="0.35">
      <c r="A151" s="68" t="s">
        <v>12</v>
      </c>
      <c r="B151" s="79">
        <f>0.85*B150*(C9*1000)^0.5/1000*C22*12*B143</f>
        <v>4722.3710518360449</v>
      </c>
      <c r="C151" s="48" t="s">
        <v>18</v>
      </c>
      <c r="D151" s="49"/>
      <c r="E151" s="49"/>
      <c r="F151" s="49"/>
      <c r="G151" s="49"/>
      <c r="H151" s="49"/>
      <c r="I151" s="50"/>
      <c r="L151" s="45" t="s">
        <v>12</v>
      </c>
      <c r="M151" s="49">
        <f>0.85*M150*(C9*1000)^0.5/1000*C22*12*B143</f>
        <v>2021.4903444411673</v>
      </c>
      <c r="N151" s="49" t="s">
        <v>8</v>
      </c>
    </row>
    <row r="152" spans="1:16" ht="18" x14ac:dyDescent="0.35">
      <c r="A152" s="68" t="s">
        <v>14</v>
      </c>
      <c r="B152" s="74">
        <f>+B146/B151</f>
        <v>0.54228794219893739</v>
      </c>
      <c r="C152" s="48"/>
      <c r="D152" s="49"/>
      <c r="E152" s="49"/>
      <c r="F152" s="49"/>
      <c r="G152" s="49"/>
      <c r="H152" s="49"/>
      <c r="I152" s="50"/>
      <c r="L152" s="45" t="s">
        <v>14</v>
      </c>
      <c r="M152" s="49">
        <f>+M146/M151</f>
        <v>0.79193298370295118</v>
      </c>
      <c r="N152" s="49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56.955000000000005</v>
      </c>
      <c r="C156" s="48" t="s">
        <v>0</v>
      </c>
      <c r="D156" s="49"/>
      <c r="E156" s="49"/>
      <c r="F156" s="49"/>
      <c r="G156" s="49"/>
      <c r="H156" s="49"/>
      <c r="I156" s="50"/>
      <c r="L156" s="4" t="s">
        <v>83</v>
      </c>
      <c r="O156" s="4">
        <f>+B163/2*B111</f>
        <v>547.72255750516615</v>
      </c>
      <c r="P156" s="4" t="s">
        <v>5</v>
      </c>
    </row>
    <row r="157" spans="1:16" x14ac:dyDescent="0.25">
      <c r="A157" s="68" t="s">
        <v>64</v>
      </c>
      <c r="B157" s="55">
        <f>+C17*12/2-C42/2+C11</f>
        <v>3</v>
      </c>
      <c r="C157" s="48" t="s">
        <v>0</v>
      </c>
      <c r="D157" s="80"/>
      <c r="E157" s="49"/>
      <c r="F157" s="49"/>
      <c r="G157" s="49"/>
      <c r="H157" s="49"/>
      <c r="I157" s="50"/>
      <c r="L157" s="45" t="s">
        <v>64</v>
      </c>
      <c r="M157" s="80">
        <f>+C17*12/2-C42/2+C11+C17*12/2</f>
        <v>21</v>
      </c>
      <c r="N157" s="49" t="s">
        <v>0</v>
      </c>
    </row>
    <row r="158" spans="1:16" x14ac:dyDescent="0.25">
      <c r="A158" s="68" t="s">
        <v>65</v>
      </c>
      <c r="B158" s="58">
        <f>MAX(B157/B156,0)</f>
        <v>5.2673163023439551E-2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  <c r="L158" s="45" t="s">
        <v>65</v>
      </c>
      <c r="M158" s="80">
        <f>MAX(M157/B156,0)</f>
        <v>0.36871214116407686</v>
      </c>
      <c r="N158" s="49"/>
    </row>
    <row r="159" spans="1:16" ht="18" x14ac:dyDescent="0.35">
      <c r="A159" s="68" t="s">
        <v>58</v>
      </c>
      <c r="B159" s="79">
        <f>12*1.6*C13-1.6*0.15*C21*C22*C20/12*((C22/2-C42/2/12)/C22)</f>
        <v>2179.7245600000006</v>
      </c>
      <c r="C159" s="48" t="s">
        <v>18</v>
      </c>
      <c r="D159" s="80"/>
      <c r="E159" s="49"/>
      <c r="F159" s="80"/>
      <c r="G159" s="49"/>
      <c r="H159" s="49"/>
      <c r="I159" s="50"/>
      <c r="L159" s="45" t="s">
        <v>58</v>
      </c>
      <c r="M159" s="49">
        <f>10*1.6*C13-1.6*0.15*C21*C22*C20/12*((C22/2-C42/2/12)/C22)</f>
        <v>1795.7245600000001</v>
      </c>
      <c r="N159" s="49" t="s">
        <v>8</v>
      </c>
    </row>
    <row r="160" spans="1:16" ht="18" x14ac:dyDescent="0.35">
      <c r="A160" s="68" t="s">
        <v>26</v>
      </c>
      <c r="B160" s="79">
        <f>1.6*C13*(2*B157)+1.6*C13*(4*(B157+0.5*C17*12))+1.6*C13*(2*(B157+C17*12))+1.6*C13*(4*(B157+1.5*C17*12))-1.6*0.15*C21*C22*C20/12*((C22/2-C42/2/12)/C22)*(C22/2-C42/2/12)*12/2</f>
        <v>71744.497319999995</v>
      </c>
      <c r="C160" s="48" t="s">
        <v>27</v>
      </c>
      <c r="D160" s="80"/>
      <c r="E160" s="49"/>
      <c r="F160" s="80"/>
      <c r="G160" s="49"/>
      <c r="H160" s="49"/>
      <c r="I160" s="50"/>
      <c r="L160" s="45" t="s">
        <v>26</v>
      </c>
      <c r="M160" s="49">
        <f>1.6*C13*(4*(M157))+1.6*C13*(2*(M157+C17*12/2))+1.6*C13*(4*(M157+1*C17*12))-1.6*0.15*C21*C22*C20/12*((C22/2-C42/2/12)/C22)*(C22/2-C42/2/12)*12/2</f>
        <v>70592.497319999995</v>
      </c>
      <c r="N160" s="49" t="s">
        <v>27</v>
      </c>
    </row>
    <row r="161" spans="1:32" ht="18" x14ac:dyDescent="0.35">
      <c r="A161" s="68" t="s">
        <v>66</v>
      </c>
      <c r="B161" s="58">
        <f>+B159*B156/B160</f>
        <v>1.7303935068507641</v>
      </c>
      <c r="C161" s="48"/>
      <c r="D161" s="80"/>
      <c r="E161" s="80"/>
      <c r="F161" s="80"/>
      <c r="G161" s="49"/>
      <c r="H161" s="49"/>
      <c r="I161" s="50"/>
      <c r="L161" s="45" t="s">
        <v>66</v>
      </c>
      <c r="M161" s="80">
        <f>+M159*B156/M160</f>
        <v>1.4488153302068223</v>
      </c>
      <c r="N161" s="80"/>
    </row>
    <row r="162" spans="1:32" ht="18" x14ac:dyDescent="0.35">
      <c r="A162" s="68" t="s">
        <v>447</v>
      </c>
      <c r="B162" s="58">
        <f>1/B161</f>
        <v>0.57790323186080006</v>
      </c>
      <c r="C162" s="48"/>
      <c r="D162" s="80"/>
      <c r="E162" s="80"/>
      <c r="F162" s="80"/>
      <c r="G162" s="49"/>
      <c r="H162" s="49"/>
      <c r="I162" s="50"/>
      <c r="L162" s="45" t="s">
        <v>67</v>
      </c>
      <c r="M162" s="80">
        <f>1/M161</f>
        <v>0.69021909083281674</v>
      </c>
      <c r="N162" s="8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  <c r="L163" s="45" t="s">
        <v>6</v>
      </c>
      <c r="M163" s="80">
        <f>+MIN(1/M158*(3.5-2.5*M162)*(1.9+0.1*M161),10)</f>
        <v>9.8411315468502725</v>
      </c>
      <c r="N163" s="80"/>
    </row>
    <row r="164" spans="1:32" ht="18" x14ac:dyDescent="0.35">
      <c r="A164" s="68" t="s">
        <v>12</v>
      </c>
      <c r="B164" s="79">
        <f>0.85*B163*(C9*1000)^0.5/1000*C21*12*B156</f>
        <v>5056.7468395235419</v>
      </c>
      <c r="C164" s="48" t="s">
        <v>18</v>
      </c>
      <c r="D164" s="49"/>
      <c r="E164" s="49"/>
      <c r="F164" s="49"/>
      <c r="G164" s="49"/>
      <c r="H164" s="49"/>
      <c r="I164" s="50"/>
      <c r="L164" s="45" t="s">
        <v>12</v>
      </c>
      <c r="M164" s="49">
        <f>0.85*M163*(C9*1000)^0.5/1000*C21*12*B156</f>
        <v>4976.4110846870544</v>
      </c>
      <c r="N164" s="49" t="s">
        <v>8</v>
      </c>
    </row>
    <row r="165" spans="1:32" ht="18" x14ac:dyDescent="0.35">
      <c r="A165" s="68" t="s">
        <v>14</v>
      </c>
      <c r="B165" s="74">
        <f>+B159/B164</f>
        <v>0.43105273591378346</v>
      </c>
      <c r="C165" s="49"/>
      <c r="D165" s="49"/>
      <c r="E165" s="49"/>
      <c r="F165" s="49"/>
      <c r="G165" s="49"/>
      <c r="H165" s="49"/>
      <c r="I165" s="50"/>
      <c r="L165" s="45" t="s">
        <v>14</v>
      </c>
      <c r="M165" s="49">
        <f>+M159/M164</f>
        <v>0.36084731133359044</v>
      </c>
      <c r="N165" s="49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58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48.362691358024691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29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66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12025.662</v>
      </c>
      <c r="U171" s="4" t="s">
        <v>35</v>
      </c>
    </row>
    <row r="172" spans="1:32" ht="18.75" x14ac:dyDescent="0.35">
      <c r="A172" s="45"/>
      <c r="B172" s="53">
        <f>+C65</f>
        <v>28</v>
      </c>
      <c r="C172" s="48" t="s">
        <v>71</v>
      </c>
      <c r="D172" s="83" t="str">
        <f>"#"&amp;+C23</f>
        <v>#10</v>
      </c>
      <c r="E172" s="49" t="s">
        <v>72</v>
      </c>
      <c r="F172" s="49" t="s">
        <v>73</v>
      </c>
      <c r="G172" s="57">
        <f>+C22-0.5</f>
        <v>14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13.279075405578503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1.5565437500000003</v>
      </c>
      <c r="H173" s="48" t="s">
        <v>74</v>
      </c>
      <c r="I173" s="50"/>
      <c r="Q173" s="4" t="s">
        <v>7</v>
      </c>
      <c r="R173" s="4">
        <f>+R172*T171/1000</f>
        <v>2634.6905385330765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1689.678856298611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2239.4869577531149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159.6896725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23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15.391999999999999</v>
      </c>
      <c r="H176" s="48" t="s">
        <v>74</v>
      </c>
      <c r="I176" s="50"/>
      <c r="Q176" s="4" t="s">
        <v>14</v>
      </c>
      <c r="R176" s="4">
        <f>+R175/R174</f>
        <v>7.1306364141641265E-2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1880.9262899472501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58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3570.6051462458609</v>
      </c>
      <c r="D180" s="48" t="s">
        <v>78</v>
      </c>
      <c r="E180" s="49" t="s">
        <v>79</v>
      </c>
      <c r="F180" s="88">
        <f>+C180/2000</f>
        <v>1.7853025731229304</v>
      </c>
      <c r="G180" s="48" t="s">
        <v>19</v>
      </c>
      <c r="H180" s="49"/>
      <c r="I180" s="50"/>
      <c r="Q180" s="4" t="s">
        <v>54</v>
      </c>
      <c r="T180" s="4">
        <f>+T179/2</f>
        <v>29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207.339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16201.662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20.321968974541008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3549.6062985897061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3017.1653538012501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329.24967249999997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0.10912549823800233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58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29</v>
      </c>
      <c r="U192" s="4" t="s">
        <v>0</v>
      </c>
      <c r="W192" s="64"/>
    </row>
    <row r="193" spans="1:54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81.83475</v>
      </c>
      <c r="U193" s="4" t="s">
        <v>0</v>
      </c>
      <c r="V193" s="64"/>
      <c r="W193" s="64"/>
    </row>
    <row r="194" spans="1:54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4746.4155000000001</v>
      </c>
      <c r="U194" s="4" t="s">
        <v>35</v>
      </c>
    </row>
    <row r="195" spans="1:54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36.332136983161291</v>
      </c>
      <c r="AF195" s="4" t="s">
        <v>5</v>
      </c>
    </row>
    <row r="196" spans="1:54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1039.8875346568648</v>
      </c>
      <c r="S196" s="4" t="s">
        <v>8</v>
      </c>
      <c r="T196" s="4" t="s">
        <v>87</v>
      </c>
    </row>
    <row r="197" spans="1:54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883.90440445833508</v>
      </c>
      <c r="S197" s="4" t="s">
        <v>8</v>
      </c>
    </row>
    <row r="198" spans="1:54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172.44741812499998</v>
      </c>
      <c r="S198" s="4" t="s">
        <v>8</v>
      </c>
      <c r="T198" s="4" t="s">
        <v>350</v>
      </c>
    </row>
    <row r="199" spans="1:54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0.19509736262789343</v>
      </c>
      <c r="T199" s="4" t="s">
        <v>146</v>
      </c>
      <c r="V199" s="4">
        <f>+(C18*C18+C18*T170+3.1415*T170^2/4/4)/144</f>
        <v>14.376898437500001</v>
      </c>
      <c r="W199" s="4" t="s">
        <v>147</v>
      </c>
    </row>
    <row r="200" spans="1:54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4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4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58</v>
      </c>
      <c r="U202" s="4" t="s">
        <v>0</v>
      </c>
      <c r="V202" s="4" t="s">
        <v>53</v>
      </c>
      <c r="W202" s="64"/>
    </row>
    <row r="203" spans="1:54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4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76.425999999999988</v>
      </c>
      <c r="U204" s="4" t="s">
        <v>0</v>
      </c>
      <c r="V204" s="64"/>
      <c r="W204" s="64"/>
    </row>
    <row r="205" spans="1:54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4432.7079999999996</v>
      </c>
      <c r="U205" s="4" t="s">
        <v>35</v>
      </c>
    </row>
    <row r="206" spans="1:54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40.203228271232383</v>
      </c>
      <c r="AF206" s="4" t="s">
        <v>5</v>
      </c>
    </row>
    <row r="207" spans="1:54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485.57883248672198</v>
      </c>
      <c r="S207" s="4" t="s">
        <v>8</v>
      </c>
      <c r="T207" s="4" t="s">
        <v>93</v>
      </c>
    </row>
    <row r="208" spans="1:54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412.74200761371367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</row>
    <row r="209" spans="1:54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178.20917158371793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</row>
    <row r="210" spans="1:54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0.43176892173889014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</row>
    <row r="211" spans="1:54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</row>
    <row r="212" spans="1:54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</row>
    <row r="213" spans="1:54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</row>
    <row r="214" spans="1:54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4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4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4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4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disablePrompts="1"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10.570312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348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40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80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8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15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v>55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20.737575</v>
      </c>
    </row>
    <row r="20" spans="1:17" ht="18" x14ac:dyDescent="0.35">
      <c r="A20" s="45"/>
      <c r="B20" s="46" t="s">
        <v>425</v>
      </c>
      <c r="C20" s="56">
        <v>59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20.737575</v>
      </c>
    </row>
    <row r="21" spans="1:17" x14ac:dyDescent="0.25">
      <c r="A21" s="45"/>
      <c r="B21" s="46" t="s">
        <v>426</v>
      </c>
      <c r="C21" s="53">
        <f>2*C18/12+5*C17</f>
        <v>17.5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1.41</v>
      </c>
      <c r="M21" s="4" t="s">
        <v>20</v>
      </c>
      <c r="N21" s="4" t="s">
        <v>37</v>
      </c>
      <c r="P21" s="4">
        <f>+IF(C24&lt;9,(C24/8),IF(C24=9,1.128,IF(C24=10,1.27,IF(C24=11,1.41,IF(C24=14,1.693,0)))))</f>
        <v>1.41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2*C18/12+4*C17</f>
        <v>14.5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1.5614040375</v>
      </c>
      <c r="M22" s="4" t="s">
        <v>35</v>
      </c>
      <c r="N22" s="4" t="s">
        <v>38</v>
      </c>
      <c r="P22" s="4">
        <f>3.1415*P21^2/4</f>
        <v>1.5614040375</v>
      </c>
      <c r="Q22" s="4" t="s">
        <v>35</v>
      </c>
    </row>
    <row r="23" spans="1:17" x14ac:dyDescent="0.25">
      <c r="A23" s="45"/>
      <c r="B23" s="46" t="s">
        <v>428</v>
      </c>
      <c r="C23" s="47">
        <v>11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11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47.885000000000005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49.295000000000002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49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9.027166454840966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8</v>
      </c>
    </row>
    <row r="30" spans="1:17" x14ac:dyDescent="0.25">
      <c r="A30" s="45" t="s">
        <v>237</v>
      </c>
      <c r="B30" s="49"/>
      <c r="C30" s="49"/>
      <c r="D30" s="49"/>
      <c r="F30" s="62" t="str">
        <f>+IF(C62&gt;C63,"NG; select smaller bar size","OK")</f>
        <v>OK</v>
      </c>
      <c r="G30" s="49"/>
      <c r="H30" s="49"/>
      <c r="I30" s="50"/>
    </row>
    <row r="31" spans="1:17" ht="18.75" x14ac:dyDescent="0.3">
      <c r="A31" s="45" t="s">
        <v>205</v>
      </c>
      <c r="B31" s="49"/>
      <c r="C31" s="49"/>
      <c r="D31" s="49"/>
      <c r="F31" s="62" t="str">
        <f>+IF(B80&gt;B81,"NG; select smaller bar size","OK")</f>
        <v>NG; select smaller bar size</v>
      </c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49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24.5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57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8774.2095000000008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12.205130541247048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1922.3329869704503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1633.9830389248827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107.09037234374999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1.6*30*C13-1.6*C21*C22*C20/12*0.15</f>
        <v>3540.5749999999998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6.5539463869963177E-2</v>
      </c>
    </row>
    <row r="41" spans="1:25" x14ac:dyDescent="0.25">
      <c r="A41" s="45"/>
      <c r="B41" s="46" t="s">
        <v>433</v>
      </c>
      <c r="C41" s="58">
        <f>+(C40/4)^0.5</f>
        <v>29.751365514880153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30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1.6*C13*(6*(1*C17*12+C11-C42/4))+1.6*C13*(6*(2*C17*12+C11-C42/4))-1.6*(C22/2-C42/12/4)*C21*C20/12*0.15*(C22/2-C42/12/4)*12/2</f>
        <v>70593.951562500006</v>
      </c>
      <c r="D45" s="49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4033.9400892857147</v>
      </c>
      <c r="D46" s="49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47.885000000000005</v>
      </c>
      <c r="D47" s="49" t="s">
        <v>0</v>
      </c>
      <c r="E47" s="49"/>
      <c r="F47" s="49"/>
      <c r="G47" s="49"/>
      <c r="H47" s="49"/>
      <c r="I47" s="50"/>
    </row>
    <row r="48" spans="1:25" ht="18.75" x14ac:dyDescent="0.35">
      <c r="A48" s="45"/>
      <c r="B48" s="46" t="s">
        <v>40</v>
      </c>
      <c r="C48" s="58">
        <f>IF(C9=3,0.51*C47-(0.26*C47^2-0.0189*C46)^0.5,0.68*C47-(0.462*C47^2-0.0252*C46)^0.5)</f>
        <v>1.6193419565732086</v>
      </c>
      <c r="D48" s="49" t="s">
        <v>30</v>
      </c>
      <c r="E48" s="49"/>
      <c r="F48" s="49"/>
      <c r="G48" s="49"/>
      <c r="H48" s="49"/>
      <c r="I48" s="50"/>
    </row>
    <row r="49" spans="1:15" ht="18.75" x14ac:dyDescent="0.35">
      <c r="A49" s="45"/>
      <c r="B49" s="46" t="s">
        <v>39</v>
      </c>
      <c r="C49" s="58">
        <f>+C48*C21</f>
        <v>28.33848424003115</v>
      </c>
      <c r="D49" s="49" t="s">
        <v>35</v>
      </c>
      <c r="E49" s="49"/>
      <c r="F49" s="49"/>
      <c r="G49" s="49"/>
      <c r="H49" s="49"/>
      <c r="I49" s="50"/>
    </row>
    <row r="50" spans="1:15" ht="18.75" x14ac:dyDescent="0.35">
      <c r="A50" s="45"/>
      <c r="B50" s="46" t="s">
        <v>43</v>
      </c>
      <c r="C50" s="58">
        <f>+C49*4/3</f>
        <v>37.784645653374866</v>
      </c>
      <c r="D50" s="49" t="s">
        <v>35</v>
      </c>
      <c r="E50" s="49"/>
      <c r="F50" s="49"/>
      <c r="G50" s="49"/>
      <c r="H50" s="49"/>
      <c r="I50" s="50"/>
    </row>
    <row r="51" spans="1:15" ht="18.75" x14ac:dyDescent="0.35">
      <c r="A51" s="45"/>
      <c r="B51" s="46" t="s">
        <v>437</v>
      </c>
      <c r="C51" s="58">
        <f>3*(C9*1000)^0.5*C21*12*C47/C10/1000</f>
        <v>27.539079399441622</v>
      </c>
      <c r="D51" s="49" t="s">
        <v>35</v>
      </c>
      <c r="E51" s="49"/>
      <c r="F51" s="49"/>
      <c r="G51" s="49"/>
      <c r="H51" s="49"/>
      <c r="I51" s="50"/>
    </row>
    <row r="52" spans="1:15" ht="18.75" x14ac:dyDescent="0.35">
      <c r="A52" s="45"/>
      <c r="B52" s="46" t="s">
        <v>438</v>
      </c>
      <c r="C52" s="58">
        <f>200*C21*12*C47/C10/1000</f>
        <v>33.519500000000008</v>
      </c>
      <c r="D52" s="49" t="s">
        <v>35</v>
      </c>
      <c r="E52" s="49"/>
      <c r="F52" s="49"/>
      <c r="G52" s="49"/>
      <c r="H52" s="49"/>
      <c r="I52" s="50"/>
    </row>
    <row r="53" spans="1:15" ht="18" x14ac:dyDescent="0.35">
      <c r="A53" s="45"/>
      <c r="B53" s="46" t="s">
        <v>44</v>
      </c>
      <c r="C53" s="58">
        <f>+MAX(C51:C52)</f>
        <v>33.519500000000008</v>
      </c>
      <c r="D53" s="49"/>
      <c r="E53" s="49"/>
      <c r="F53" s="49"/>
      <c r="G53" s="49"/>
      <c r="H53" s="49"/>
      <c r="I53" s="50"/>
    </row>
    <row r="54" spans="1:15" ht="18.75" x14ac:dyDescent="0.35">
      <c r="A54" s="45"/>
      <c r="B54" s="46" t="s">
        <v>439</v>
      </c>
      <c r="C54" s="58">
        <f>+IF(C10=60,0.0018*C21*12*C20,0.002*C21*12*C20)</f>
        <v>22.302</v>
      </c>
      <c r="D54" s="49" t="s">
        <v>35</v>
      </c>
      <c r="E54" s="49"/>
      <c r="F54" s="49"/>
      <c r="G54" s="49"/>
      <c r="H54" s="49"/>
      <c r="I54" s="50"/>
    </row>
    <row r="55" spans="1:15" ht="18.75" x14ac:dyDescent="0.35">
      <c r="A55" s="45"/>
      <c r="B55" s="46" t="s">
        <v>41</v>
      </c>
      <c r="C55" s="74">
        <f>+IF(C49&gt;C53,C49,IF(C50&gt;C53,C53,IF(C50&gt;C54,C50,C54)))</f>
        <v>33.519500000000008</v>
      </c>
      <c r="D55" s="49" t="s">
        <v>35</v>
      </c>
      <c r="E55" s="49"/>
      <c r="F55" s="49"/>
      <c r="G55" s="49"/>
      <c r="H55" s="49"/>
      <c r="I55" s="50"/>
    </row>
    <row r="56" spans="1:15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15" x14ac:dyDescent="0.25">
      <c r="A57" s="109"/>
      <c r="B57" s="76" t="s">
        <v>45</v>
      </c>
      <c r="C57" s="57">
        <f>+C21/C22</f>
        <v>1.2068965517241379</v>
      </c>
      <c r="D57" s="48"/>
      <c r="E57" s="49"/>
      <c r="F57" s="49"/>
      <c r="G57" s="49"/>
      <c r="H57" s="49"/>
      <c r="I57" s="50"/>
      <c r="K57" s="111" t="s">
        <v>206</v>
      </c>
      <c r="L57" s="111"/>
      <c r="M57" s="111"/>
      <c r="N57" s="111"/>
      <c r="O57" s="111"/>
    </row>
    <row r="58" spans="1:15" ht="18" x14ac:dyDescent="0.35">
      <c r="A58" s="109"/>
      <c r="B58" s="76" t="s">
        <v>47</v>
      </c>
      <c r="C58" s="55">
        <f>2/(C57+1)</f>
        <v>0.90625</v>
      </c>
      <c r="D58" s="48"/>
      <c r="E58" s="49" t="s">
        <v>119</v>
      </c>
      <c r="F58" s="49"/>
      <c r="G58" s="49"/>
      <c r="H58" s="49"/>
      <c r="I58" s="50"/>
      <c r="K58" s="111" t="s">
        <v>207</v>
      </c>
      <c r="L58" s="111"/>
      <c r="M58" s="111">
        <f>+((C21*12)-2*(3+L21/2))/(C65-1)</f>
        <v>6.3309375000000001</v>
      </c>
      <c r="N58" s="111" t="s">
        <v>0</v>
      </c>
      <c r="O58" s="111"/>
    </row>
    <row r="59" spans="1:15" ht="18" x14ac:dyDescent="0.35">
      <c r="A59" s="45"/>
      <c r="B59" s="46" t="s">
        <v>46</v>
      </c>
      <c r="C59" s="58">
        <f>+C49*C57*C58</f>
        <v>30.99521713753407</v>
      </c>
      <c r="D59" s="48" t="s">
        <v>436</v>
      </c>
      <c r="E59" s="49"/>
      <c r="F59" s="49"/>
      <c r="G59" s="49"/>
      <c r="H59" s="49"/>
      <c r="I59" s="50"/>
      <c r="K59" s="111" t="s">
        <v>208</v>
      </c>
      <c r="L59" s="111"/>
      <c r="M59" s="111">
        <f>3+L21/2</f>
        <v>3.7050000000000001</v>
      </c>
      <c r="N59" s="111" t="s">
        <v>0</v>
      </c>
      <c r="O59" s="111"/>
    </row>
    <row r="60" spans="1:15" ht="18" x14ac:dyDescent="0.35">
      <c r="A60" s="45"/>
      <c r="B60" s="46" t="s">
        <v>41</v>
      </c>
      <c r="C60" s="58">
        <f>+MAX(C59,C55)</f>
        <v>33.519500000000008</v>
      </c>
      <c r="D60" s="48" t="s">
        <v>436</v>
      </c>
      <c r="E60" s="49"/>
      <c r="F60" s="49"/>
      <c r="G60" s="49"/>
      <c r="H60" s="49"/>
      <c r="I60" s="50"/>
      <c r="K60" s="111" t="s">
        <v>209</v>
      </c>
      <c r="L60" s="111"/>
      <c r="M60" s="111">
        <f>+MIN(M58/2,M59)</f>
        <v>3.1654687500000001</v>
      </c>
      <c r="N60" s="111" t="s">
        <v>0</v>
      </c>
      <c r="O60" s="111"/>
    </row>
    <row r="61" spans="1:15" ht="18" x14ac:dyDescent="0.35">
      <c r="A61" s="45"/>
      <c r="B61" s="46" t="s">
        <v>210</v>
      </c>
      <c r="C61" s="77">
        <f>+M60</f>
        <v>3.1654687500000001</v>
      </c>
      <c r="D61" s="48" t="s">
        <v>0</v>
      </c>
      <c r="E61" s="49"/>
      <c r="F61" s="49"/>
      <c r="G61" s="49"/>
      <c r="H61" s="49"/>
      <c r="I61" s="50"/>
      <c r="K61" s="111"/>
      <c r="L61" s="111"/>
      <c r="M61" s="111"/>
      <c r="N61" s="111"/>
      <c r="O61" s="111"/>
    </row>
    <row r="62" spans="1:15" ht="18" x14ac:dyDescent="0.35">
      <c r="A62" s="45"/>
      <c r="B62" s="46" t="s">
        <v>211</v>
      </c>
      <c r="C62" s="58">
        <f>+M66</f>
        <v>51.600282734240572</v>
      </c>
      <c r="D62" s="48" t="s">
        <v>0</v>
      </c>
      <c r="E62" s="49"/>
      <c r="F62" s="49"/>
      <c r="G62" s="49"/>
      <c r="H62" s="49"/>
      <c r="I62" s="50"/>
      <c r="K62" s="111" t="s">
        <v>212</v>
      </c>
      <c r="L62" s="111"/>
      <c r="M62" s="111">
        <v>1</v>
      </c>
      <c r="N62" s="111"/>
      <c r="O62" s="111" t="s">
        <v>213</v>
      </c>
    </row>
    <row r="63" spans="1:15" ht="18" x14ac:dyDescent="0.35">
      <c r="A63" s="45"/>
      <c r="B63" s="46" t="s">
        <v>214</v>
      </c>
      <c r="C63" s="58">
        <f>+M67</f>
        <v>69</v>
      </c>
      <c r="D63" s="48" t="s">
        <v>0</v>
      </c>
      <c r="E63" s="49" t="str">
        <f>+IF(C62&gt;C63,"NG; insufficient length available to develop hook","OK; sufficient length available to develop bar")</f>
        <v>OK; sufficient length available to develop bar</v>
      </c>
      <c r="F63" s="49"/>
      <c r="G63" s="49"/>
      <c r="H63" s="49"/>
      <c r="I63" s="50"/>
      <c r="K63" s="111" t="s">
        <v>215</v>
      </c>
      <c r="L63" s="111"/>
      <c r="M63" s="111">
        <v>1</v>
      </c>
      <c r="N63" s="111"/>
      <c r="O63" s="111" t="s">
        <v>50</v>
      </c>
    </row>
    <row r="64" spans="1:15" x14ac:dyDescent="0.25">
      <c r="A64" s="45"/>
      <c r="B64" s="46" t="s">
        <v>441</v>
      </c>
      <c r="C64" s="78">
        <f>+C60/L22</f>
        <v>21.467537674405435</v>
      </c>
      <c r="D64" s="49"/>
      <c r="E64" s="49"/>
      <c r="F64" s="49"/>
      <c r="G64" s="49"/>
      <c r="H64" s="49"/>
      <c r="I64" s="50"/>
      <c r="K64" s="111" t="s">
        <v>216</v>
      </c>
      <c r="L64" s="111"/>
      <c r="M64" s="111">
        <f>+IF(C23&gt;6,1,0.8)</f>
        <v>1</v>
      </c>
      <c r="N64" s="111"/>
      <c r="O64" s="111" t="s">
        <v>217</v>
      </c>
    </row>
    <row r="65" spans="1:15" x14ac:dyDescent="0.25">
      <c r="A65" s="45"/>
      <c r="B65" s="46" t="s">
        <v>442</v>
      </c>
      <c r="C65" s="56">
        <v>33</v>
      </c>
      <c r="D65" s="49"/>
      <c r="E65" s="49"/>
      <c r="F65" s="49"/>
      <c r="G65" s="49"/>
      <c r="H65" s="49"/>
      <c r="I65" s="50"/>
      <c r="K65" s="111" t="s">
        <v>218</v>
      </c>
      <c r="L65" s="111"/>
      <c r="M65" s="111">
        <f>+IF(M60/L21&lt;2.5,M60/L21,2.5)</f>
        <v>2.2450132978723407</v>
      </c>
      <c r="N65" s="111"/>
      <c r="O65" s="111"/>
    </row>
    <row r="66" spans="1:15" x14ac:dyDescent="0.25">
      <c r="A66" s="45"/>
      <c r="B66" s="49"/>
      <c r="C66" s="49"/>
      <c r="D66" s="49"/>
      <c r="E66" s="49"/>
      <c r="F66" s="49"/>
      <c r="G66" s="49"/>
      <c r="H66" s="49"/>
      <c r="I66" s="50"/>
      <c r="K66" s="111" t="s">
        <v>219</v>
      </c>
      <c r="L66" s="111"/>
      <c r="M66" s="111">
        <f>3/40*C10*1000/(C9*1000)^0.5*M62*M63*M64/M65*L21</f>
        <v>51.600282734240572</v>
      </c>
      <c r="N66" s="111" t="s">
        <v>0</v>
      </c>
      <c r="O66" s="111"/>
    </row>
    <row r="67" spans="1:15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  <c r="K67" s="111" t="s">
        <v>220</v>
      </c>
      <c r="L67" s="111"/>
      <c r="M67" s="111">
        <f>+(C22*12)/2-3-C42/2</f>
        <v>69</v>
      </c>
      <c r="N67" s="111" t="s">
        <v>0</v>
      </c>
      <c r="O67" s="111" t="str">
        <f>+IF(M67&gt;M66,"OK; required development length available","NG")</f>
        <v>OK; required development length available</v>
      </c>
    </row>
    <row r="68" spans="1:15" ht="18" x14ac:dyDescent="0.35">
      <c r="A68" s="45"/>
      <c r="B68" s="46" t="s">
        <v>26</v>
      </c>
      <c r="C68" s="69">
        <f>1.6*C13*(5*(C17*12/2+C11-C42/4))+1.6*C13*(5*(1.5*C17*12+C11-C42/4))+1.6*C13*(5*(2.5*C17*12+C11-C42/4))-1.6*(C21/2-C42/12/4)*C22*C20/12*0.15*(C21/2-C42/12/4)*12/2</f>
        <v>88262.8359375</v>
      </c>
      <c r="D68" s="48" t="s">
        <v>27</v>
      </c>
      <c r="E68" s="49" t="s">
        <v>118</v>
      </c>
      <c r="F68" s="49"/>
      <c r="G68" s="49"/>
      <c r="H68" s="49"/>
      <c r="I68" s="50"/>
    </row>
    <row r="69" spans="1:15" ht="18" x14ac:dyDescent="0.35">
      <c r="A69" s="45"/>
      <c r="B69" s="46" t="s">
        <v>26</v>
      </c>
      <c r="C69" s="79">
        <f>+C68/C22</f>
        <v>6087.0921336206893</v>
      </c>
      <c r="D69" s="48" t="s">
        <v>28</v>
      </c>
      <c r="E69" s="49" t="s">
        <v>29</v>
      </c>
      <c r="F69" s="49"/>
      <c r="G69" s="49"/>
      <c r="H69" s="49"/>
      <c r="I69" s="50"/>
    </row>
    <row r="70" spans="1:15" x14ac:dyDescent="0.25">
      <c r="A70" s="45"/>
      <c r="B70" s="46" t="s">
        <v>1</v>
      </c>
      <c r="C70" s="55">
        <f>+C20-C14-C15-P21/2</f>
        <v>49.295000000000002</v>
      </c>
      <c r="D70" s="48" t="s">
        <v>0</v>
      </c>
      <c r="E70" s="49"/>
      <c r="F70" s="49"/>
      <c r="G70" s="49"/>
      <c r="H70" s="49"/>
      <c r="I70" s="50"/>
      <c r="K70" s="111" t="s">
        <v>221</v>
      </c>
      <c r="L70" s="111"/>
      <c r="M70" s="111"/>
      <c r="N70" s="111"/>
      <c r="O70" s="111"/>
    </row>
    <row r="71" spans="1:15" ht="18.75" x14ac:dyDescent="0.35">
      <c r="A71" s="45"/>
      <c r="B71" s="46" t="s">
        <v>40</v>
      </c>
      <c r="C71" s="58">
        <f>IF(C9=3,0.51*C70-(0.26*C70^2-0.0189*C69)^0.5,0.68*C70-(0.462*C70^2-0.0252*C69)^0.5)</f>
        <v>2.4082440979198196</v>
      </c>
      <c r="D71" s="48" t="s">
        <v>30</v>
      </c>
      <c r="E71" s="49"/>
      <c r="F71" s="49"/>
      <c r="G71" s="49"/>
      <c r="H71" s="49"/>
      <c r="I71" s="50"/>
      <c r="K71" s="111" t="s">
        <v>207</v>
      </c>
      <c r="L71" s="111"/>
      <c r="M71" s="111">
        <f>+((C22*12)-2*(3+P21/2))/(C83-1)</f>
        <v>6.6635999999999997</v>
      </c>
      <c r="N71" s="111" t="s">
        <v>0</v>
      </c>
      <c r="O71" s="111"/>
    </row>
    <row r="72" spans="1:15" ht="18.75" x14ac:dyDescent="0.35">
      <c r="A72" s="45"/>
      <c r="B72" s="46" t="s">
        <v>39</v>
      </c>
      <c r="C72" s="58">
        <f>+C71*C22</f>
        <v>34.919539419837385</v>
      </c>
      <c r="D72" s="48" t="s">
        <v>35</v>
      </c>
      <c r="E72" s="49"/>
      <c r="F72" s="49"/>
      <c r="G72" s="49"/>
      <c r="H72" s="49"/>
      <c r="I72" s="50"/>
      <c r="K72" s="111" t="s">
        <v>208</v>
      </c>
      <c r="L72" s="111"/>
      <c r="M72" s="111">
        <f>3+P21/2</f>
        <v>3.7050000000000001</v>
      </c>
      <c r="N72" s="111" t="s">
        <v>0</v>
      </c>
      <c r="O72" s="111"/>
    </row>
    <row r="73" spans="1:15" ht="18.75" x14ac:dyDescent="0.35">
      <c r="A73" s="45"/>
      <c r="B73" s="46" t="s">
        <v>43</v>
      </c>
      <c r="C73" s="58">
        <f>+C72*4/3</f>
        <v>46.559385893116513</v>
      </c>
      <c r="D73" s="48" t="s">
        <v>35</v>
      </c>
      <c r="E73" s="49"/>
      <c r="F73" s="49"/>
      <c r="G73" s="49"/>
      <c r="H73" s="49"/>
      <c r="I73" s="50"/>
      <c r="K73" s="111" t="s">
        <v>209</v>
      </c>
      <c r="L73" s="111"/>
      <c r="M73" s="111">
        <f>+MIN(M71/2,M72)</f>
        <v>3.3317999999999999</v>
      </c>
      <c r="N73" s="111" t="s">
        <v>0</v>
      </c>
      <c r="O73" s="111"/>
    </row>
    <row r="74" spans="1:15" ht="18.75" x14ac:dyDescent="0.35">
      <c r="A74" s="45"/>
      <c r="B74" s="46" t="s">
        <v>437</v>
      </c>
      <c r="C74" s="58">
        <f>3*(C9*1000)^0.5*C22*12*C70/C10/1000</f>
        <v>23.489985620828936</v>
      </c>
      <c r="D74" s="48" t="s">
        <v>35</v>
      </c>
      <c r="E74" s="49"/>
      <c r="F74" s="49"/>
      <c r="G74" s="49"/>
      <c r="H74" s="49"/>
      <c r="I74" s="50"/>
      <c r="K74" s="111"/>
      <c r="L74" s="111"/>
      <c r="M74" s="111"/>
      <c r="N74" s="111"/>
      <c r="O74" s="111"/>
    </row>
    <row r="75" spans="1:15" ht="18.75" x14ac:dyDescent="0.35">
      <c r="A75" s="45"/>
      <c r="B75" s="46" t="s">
        <v>438</v>
      </c>
      <c r="C75" s="58">
        <f>200*C22*12*C70/C10/1000</f>
        <v>28.591099999999997</v>
      </c>
      <c r="D75" s="48" t="s">
        <v>35</v>
      </c>
      <c r="E75" s="49"/>
      <c r="F75" s="49"/>
      <c r="G75" s="49"/>
      <c r="H75" s="49"/>
      <c r="I75" s="50"/>
      <c r="K75" s="111" t="s">
        <v>212</v>
      </c>
      <c r="L75" s="111"/>
      <c r="M75" s="111">
        <v>1</v>
      </c>
      <c r="N75" s="111"/>
      <c r="O75" s="111" t="s">
        <v>213</v>
      </c>
    </row>
    <row r="76" spans="1:15" ht="18" x14ac:dyDescent="0.35">
      <c r="A76" s="45"/>
      <c r="B76" s="46" t="s">
        <v>44</v>
      </c>
      <c r="C76" s="58">
        <f>+MAX(C74:C75)</f>
        <v>28.591099999999997</v>
      </c>
      <c r="D76" s="48"/>
      <c r="E76" s="49"/>
      <c r="F76" s="49"/>
      <c r="G76" s="49"/>
      <c r="H76" s="49"/>
      <c r="I76" s="50"/>
      <c r="K76" s="111" t="s">
        <v>215</v>
      </c>
      <c r="L76" s="111"/>
      <c r="M76" s="111">
        <v>1</v>
      </c>
      <c r="N76" s="111"/>
      <c r="O76" s="111" t="s">
        <v>50</v>
      </c>
    </row>
    <row r="77" spans="1:15" ht="18.75" x14ac:dyDescent="0.35">
      <c r="A77" s="45"/>
      <c r="B77" s="46" t="s">
        <v>439</v>
      </c>
      <c r="C77" s="58">
        <f>+IF(C10=60,0.0018*C22*12*C20,0.002*C22*12*C20)</f>
        <v>18.4788</v>
      </c>
      <c r="D77" s="48" t="s">
        <v>35</v>
      </c>
      <c r="E77" s="49"/>
      <c r="F77" s="49"/>
      <c r="G77" s="49"/>
      <c r="H77" s="49"/>
      <c r="I77" s="50"/>
      <c r="K77" s="111" t="s">
        <v>216</v>
      </c>
      <c r="L77" s="111"/>
      <c r="M77" s="111">
        <f>+IF(C24&gt;6,1,0.8)</f>
        <v>1</v>
      </c>
      <c r="N77" s="111"/>
      <c r="O77" s="111" t="s">
        <v>217</v>
      </c>
    </row>
    <row r="78" spans="1:15" ht="18.75" x14ac:dyDescent="0.35">
      <c r="A78" s="45"/>
      <c r="B78" s="46" t="s">
        <v>41</v>
      </c>
      <c r="C78" s="58">
        <f>+IF(C72&gt;C76,C72,IF(C73&gt;C76,C76,IF(C73&gt;C77,C73,C77)))</f>
        <v>34.919539419837385</v>
      </c>
      <c r="D78" s="48" t="s">
        <v>35</v>
      </c>
      <c r="E78" s="49"/>
      <c r="F78" s="49"/>
      <c r="G78" s="49"/>
      <c r="H78" s="49"/>
      <c r="I78" s="50"/>
      <c r="K78" s="111" t="s">
        <v>218</v>
      </c>
      <c r="L78" s="111"/>
      <c r="M78" s="111">
        <f>+IF(M73/P21&lt;2.5,M73/P21,2.5)</f>
        <v>2.3629787234042552</v>
      </c>
      <c r="N78" s="111"/>
      <c r="O78" s="111"/>
    </row>
    <row r="79" spans="1:15" ht="18" x14ac:dyDescent="0.35">
      <c r="A79" s="45"/>
      <c r="B79" s="112" t="s">
        <v>210</v>
      </c>
      <c r="C79" s="58">
        <f>+M73</f>
        <v>3.3317999999999999</v>
      </c>
      <c r="D79" s="48" t="s">
        <v>0</v>
      </c>
      <c r="E79" s="49"/>
      <c r="F79" s="49"/>
      <c r="G79" s="49"/>
      <c r="H79" s="49"/>
      <c r="I79" s="50"/>
      <c r="K79" s="111" t="s">
        <v>219</v>
      </c>
      <c r="L79" s="111"/>
      <c r="M79" s="111">
        <f>3/40*C10*1000/(C9*1000)^0.5*M75*M76*M77/M78*P21</f>
        <v>49.024275912840835</v>
      </c>
      <c r="N79" s="111" t="s">
        <v>0</v>
      </c>
      <c r="O79" s="111"/>
    </row>
    <row r="80" spans="1:15" ht="18" x14ac:dyDescent="0.35">
      <c r="A80" s="45"/>
      <c r="B80" s="112" t="s">
        <v>211</v>
      </c>
      <c r="C80" s="58">
        <f>+M79</f>
        <v>49.024275912840835</v>
      </c>
      <c r="D80" s="48"/>
      <c r="E80" s="49"/>
      <c r="F80" s="49"/>
      <c r="G80" s="49"/>
      <c r="H80" s="49"/>
      <c r="I80" s="50"/>
      <c r="K80" s="111" t="s">
        <v>220</v>
      </c>
      <c r="L80" s="111"/>
      <c r="M80" s="111">
        <f>+(C21*12)/2-3-C42/2</f>
        <v>87</v>
      </c>
      <c r="N80" s="111" t="s">
        <v>0</v>
      </c>
      <c r="O80" s="111" t="str">
        <f>+IF(M80&gt;M79,"OK; required development length available","NG")</f>
        <v>OK; required development length available</v>
      </c>
    </row>
    <row r="81" spans="1:17" ht="18" x14ac:dyDescent="0.35">
      <c r="A81" s="45"/>
      <c r="B81" s="112" t="s">
        <v>214</v>
      </c>
      <c r="C81" s="58">
        <f>+M80</f>
        <v>87</v>
      </c>
      <c r="D81" s="48" t="s">
        <v>0</v>
      </c>
      <c r="E81" s="49" t="str">
        <f>+IF(C80&gt;C81,"NG; insufficient length available to develop hook","OK; sufficient length available to develop bar")</f>
        <v>OK; sufficient length available to develop bar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22.364191830673029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26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49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39.5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24.5</v>
      </c>
      <c r="C87" s="48" t="s">
        <v>0</v>
      </c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+C17*12+C11</f>
        <v>39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+IF(M86&gt;O91,0,IF(M86&gt;O88,10,IF(M86&gt;O90,18,IF(M86&gt;O87,24,IF(M86&gt;O89,28,30)))))</f>
        <v>24</v>
      </c>
      <c r="G88" s="49"/>
      <c r="H88" s="49"/>
      <c r="I88" s="50"/>
      <c r="J88" s="4" t="s">
        <v>273</v>
      </c>
      <c r="K88" s="64"/>
      <c r="L88" s="64"/>
      <c r="M88" s="64"/>
      <c r="N88" s="64"/>
      <c r="O88" s="64">
        <f>2*C17*12+C11</f>
        <v>75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57</v>
      </c>
      <c r="K89" s="64"/>
      <c r="L89" s="64"/>
      <c r="M89" s="64"/>
      <c r="N89" s="64"/>
      <c r="O89" s="64">
        <f>+C17*12/2+C11</f>
        <v>21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316</v>
      </c>
      <c r="C90" s="48" t="s">
        <v>0</v>
      </c>
      <c r="D90" s="49"/>
      <c r="E90" s="49"/>
      <c r="F90" s="49"/>
      <c r="G90" s="49"/>
      <c r="H90" s="49"/>
      <c r="I90" s="50"/>
      <c r="J90" s="4" t="s">
        <v>248</v>
      </c>
      <c r="K90" s="64"/>
      <c r="L90" s="64"/>
      <c r="M90" s="64"/>
      <c r="N90" s="64"/>
      <c r="O90" s="64">
        <f>1.5*C17*12+C11</f>
        <v>57</v>
      </c>
      <c r="P90" s="4" t="s">
        <v>0</v>
      </c>
      <c r="Q90" s="4" t="s">
        <v>120</v>
      </c>
    </row>
    <row r="91" spans="1:17" ht="18.75" x14ac:dyDescent="0.35">
      <c r="A91" s="68" t="s">
        <v>7</v>
      </c>
      <c r="B91" s="79">
        <f>+B89*B90*B86/1000</f>
        <v>3392.374432163997</v>
      </c>
      <c r="C91" s="48" t="s">
        <v>18</v>
      </c>
      <c r="D91" s="49" t="s">
        <v>15</v>
      </c>
      <c r="E91" s="49"/>
      <c r="F91" s="49"/>
      <c r="G91" s="49"/>
      <c r="H91" s="49"/>
      <c r="I91" s="50"/>
      <c r="J91" s="4" t="s">
        <v>275</v>
      </c>
      <c r="K91" s="64"/>
      <c r="L91" s="64"/>
      <c r="M91" s="64"/>
      <c r="N91" s="64"/>
      <c r="O91" s="64">
        <f>2.5*C17*12+C11</f>
        <v>93</v>
      </c>
      <c r="P91" s="4" t="s">
        <v>0</v>
      </c>
      <c r="Q91" s="4" t="s">
        <v>120</v>
      </c>
    </row>
    <row r="92" spans="1:17" ht="18" x14ac:dyDescent="0.35">
      <c r="A92" s="68" t="s">
        <v>12</v>
      </c>
      <c r="B92" s="79">
        <f>+B91*0.85</f>
        <v>2883.5182673393974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2823.7165277777781</v>
      </c>
      <c r="C93" s="48" t="s">
        <v>18</v>
      </c>
      <c r="D93" s="49" t="s">
        <v>132</v>
      </c>
      <c r="E93" s="49"/>
      <c r="F93" s="49"/>
      <c r="G93" s="49"/>
      <c r="H93" s="49"/>
      <c r="I93" s="50"/>
      <c r="L93" s="4" t="s">
        <v>83</v>
      </c>
      <c r="O93" s="4">
        <f>+B89</f>
        <v>219.08902300206645</v>
      </c>
      <c r="P93" s="4" t="s">
        <v>5</v>
      </c>
    </row>
    <row r="94" spans="1:17" ht="18" x14ac:dyDescent="0.35">
      <c r="A94" s="68" t="s">
        <v>14</v>
      </c>
      <c r="B94" s="74">
        <f>+B93/B92</f>
        <v>0.97926084247879652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49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64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+IF(M98&gt;O101,0,IF(M98&gt;O100,5,IF(M98&gt;O99,10,15)))</f>
        <v>5</v>
      </c>
      <c r="G99" s="49"/>
      <c r="H99" s="49"/>
      <c r="I99" s="50"/>
      <c r="J99" s="4" t="s">
        <v>57</v>
      </c>
      <c r="K99" s="64"/>
      <c r="L99" s="64"/>
      <c r="M99" s="64"/>
      <c r="N99" s="64"/>
      <c r="O99" s="64">
        <f>+C17*12/2+C11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248</v>
      </c>
      <c r="K100" s="64"/>
      <c r="L100" s="64"/>
      <c r="M100" s="64"/>
      <c r="N100" s="64"/>
      <c r="O100" s="64">
        <f>1.5*C17*12+C11</f>
        <v>57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8526</v>
      </c>
      <c r="C101" s="48" t="s">
        <v>436</v>
      </c>
      <c r="D101" s="49"/>
      <c r="E101" s="49"/>
      <c r="F101" s="49"/>
      <c r="G101" s="49"/>
      <c r="H101" s="49"/>
      <c r="I101" s="50"/>
      <c r="J101" s="4" t="s">
        <v>275</v>
      </c>
      <c r="K101" s="64"/>
      <c r="L101" s="64"/>
      <c r="M101" s="64"/>
      <c r="N101" s="64"/>
      <c r="O101" s="64">
        <f>2.5*C17*12+C11</f>
        <v>93</v>
      </c>
      <c r="P101" s="4" t="s">
        <v>0</v>
      </c>
      <c r="Q101" s="4" t="s">
        <v>120</v>
      </c>
    </row>
    <row r="102" spans="1:17" ht="18.75" x14ac:dyDescent="0.35">
      <c r="A102" s="68" t="s">
        <v>7</v>
      </c>
      <c r="B102" s="79">
        <f>+B100*B101/1000</f>
        <v>933.97650505780928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793.88002929913785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581.54083333333335</v>
      </c>
      <c r="C104" s="48" t="s">
        <v>18</v>
      </c>
      <c r="D104" s="49" t="s">
        <v>132</v>
      </c>
      <c r="E104" s="49"/>
      <c r="F104" s="49"/>
      <c r="G104" s="49"/>
      <c r="H104" s="49"/>
      <c r="I104" s="50"/>
      <c r="L104" s="4" t="s">
        <v>83</v>
      </c>
      <c r="O104" s="4">
        <f>+B100</f>
        <v>109.54451150103323</v>
      </c>
      <c r="P104" s="4" t="s">
        <v>5</v>
      </c>
    </row>
    <row r="105" spans="1:17" ht="18" x14ac:dyDescent="0.35">
      <c r="A105" s="68" t="s">
        <v>14</v>
      </c>
      <c r="B105" s="74">
        <f>+B104/B103</f>
        <v>0.73252986833128408</v>
      </c>
      <c r="C105" s="49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49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64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+IF(M109&gt;O111,0,IF(M109&gt;O110,6,12))</f>
        <v>6</v>
      </c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+C17*12+C11</f>
        <v>39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  <c r="J111" s="4" t="s">
        <v>273</v>
      </c>
      <c r="K111" s="64"/>
      <c r="L111" s="64"/>
      <c r="M111" s="64"/>
      <c r="N111" s="64"/>
      <c r="O111" s="64">
        <f>2*C17*12+C11</f>
        <v>75</v>
      </c>
      <c r="P111" s="4" t="s">
        <v>0</v>
      </c>
      <c r="Q111" s="4" t="s">
        <v>120</v>
      </c>
    </row>
    <row r="112" spans="1:17" x14ac:dyDescent="0.25">
      <c r="A112" s="68" t="s">
        <v>62</v>
      </c>
      <c r="B112" s="79">
        <f>+C21*12*B109</f>
        <v>10290</v>
      </c>
      <c r="C112" s="48" t="s">
        <v>436</v>
      </c>
      <c r="D112" s="49"/>
      <c r="E112" s="49"/>
      <c r="F112" s="49"/>
      <c r="G112" s="49"/>
      <c r="H112" s="49"/>
      <c r="I112" s="50"/>
    </row>
    <row r="113" spans="1:23" ht="18.75" x14ac:dyDescent="0.35">
      <c r="A113" s="68" t="s">
        <v>7</v>
      </c>
      <c r="B113" s="79">
        <f>+B111*B112/1000</f>
        <v>1127.2130233456321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958.13106984378726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728.42083333333335</v>
      </c>
      <c r="C115" s="48" t="s">
        <v>18</v>
      </c>
      <c r="D115" s="49" t="s">
        <v>132</v>
      </c>
      <c r="E115" s="49"/>
      <c r="F115" s="49"/>
      <c r="G115" s="49"/>
      <c r="H115" s="49"/>
      <c r="I115" s="50"/>
      <c r="L115" s="4" t="s">
        <v>83</v>
      </c>
      <c r="O115" s="4">
        <f>+B111</f>
        <v>109.54451150103323</v>
      </c>
      <c r="P115" s="4" t="s">
        <v>5</v>
      </c>
    </row>
    <row r="116" spans="1:23" ht="18" x14ac:dyDescent="0.35">
      <c r="A116" s="68" t="s">
        <v>14</v>
      </c>
      <c r="B116" s="74">
        <f>+B115/B114</f>
        <v>0.76025176122520932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15</v>
      </c>
      <c r="W126" s="4" t="s">
        <v>0</v>
      </c>
    </row>
    <row r="127" spans="1:23" ht="18" x14ac:dyDescent="0.35">
      <c r="A127" s="68" t="s">
        <v>1</v>
      </c>
      <c r="B127" s="53">
        <f>+B86</f>
        <v>49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3547.95</v>
      </c>
      <c r="W127" s="49" t="s">
        <v>8</v>
      </c>
    </row>
    <row r="128" spans="1:23" ht="18.75" x14ac:dyDescent="0.35">
      <c r="A128" s="68" t="s">
        <v>54</v>
      </c>
      <c r="B128" s="54">
        <f>+B127/2</f>
        <v>24.5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4" ht="18.75" x14ac:dyDescent="0.35">
      <c r="A129" s="68"/>
      <c r="B129" s="49"/>
      <c r="C129" s="48"/>
      <c r="D129" s="46" t="s">
        <v>453</v>
      </c>
      <c r="E129" s="83">
        <v>30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4" ht="18" x14ac:dyDescent="0.35">
      <c r="A130" s="68" t="s">
        <v>454</v>
      </c>
      <c r="B130" s="57">
        <f>+C17*12/2-C42/2+C11</f>
        <v>6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K130" s="4">
        <v>1</v>
      </c>
      <c r="L130" s="49" t="s">
        <v>14</v>
      </c>
      <c r="M130" s="49">
        <f>+IF(B130&gt;0,B139,V139)</f>
        <v>0.40501455746891546</v>
      </c>
      <c r="Q130" s="49" t="s">
        <v>16</v>
      </c>
      <c r="R130" s="4">
        <f>+C17*12-C42/2+C11</f>
        <v>24</v>
      </c>
      <c r="S130" s="4" t="s">
        <v>0</v>
      </c>
      <c r="U130" s="49" t="s">
        <v>11</v>
      </c>
      <c r="V130" s="49">
        <f>+B134</f>
        <v>316</v>
      </c>
      <c r="W130" s="49" t="s">
        <v>0</v>
      </c>
    </row>
    <row r="131" spans="1:24" ht="18" x14ac:dyDescent="0.35">
      <c r="A131" s="68" t="s">
        <v>58</v>
      </c>
      <c r="B131" s="79">
        <f>+C13*E129*1.6-1.6*0.15*C21*C22*C20/12+1.6*0.15*(C42)/12*(C42)/12*C20/12</f>
        <v>3547.95</v>
      </c>
      <c r="C131" s="48" t="s">
        <v>18</v>
      </c>
      <c r="D131" s="49"/>
      <c r="E131" s="49"/>
      <c r="F131" s="49"/>
      <c r="G131" s="49"/>
      <c r="H131" s="49"/>
      <c r="I131" s="50"/>
      <c r="K131" s="4">
        <v>2</v>
      </c>
      <c r="L131" s="49" t="s">
        <v>14</v>
      </c>
      <c r="M131" s="49">
        <f>+IF(R130&gt;0,R139,X139)</f>
        <v>1.2053132787501697</v>
      </c>
      <c r="Q131" s="49" t="s">
        <v>13</v>
      </c>
      <c r="R131" s="49">
        <f>+C13*E129*1.6-1.6*0.15*C21*C22*C20/12+1.6*0.15*(C42)/12*(C42)/12*C20/12</f>
        <v>3547.95</v>
      </c>
      <c r="S131" s="49" t="s">
        <v>8</v>
      </c>
      <c r="T131" s="49"/>
      <c r="U131" s="49" t="s">
        <v>2</v>
      </c>
      <c r="V131" s="49">
        <f>+B135</f>
        <v>120</v>
      </c>
      <c r="W131" s="49" t="s">
        <v>0</v>
      </c>
      <c r="X131" s="49"/>
    </row>
    <row r="132" spans="1:24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17.204444444444444</v>
      </c>
      <c r="W132" s="49"/>
      <c r="X132" s="49"/>
    </row>
    <row r="133" spans="1:24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5540.8782392011954</v>
      </c>
      <c r="W133" s="49" t="s">
        <v>8</v>
      </c>
      <c r="X133" s="49"/>
    </row>
    <row r="134" spans="1:24" ht="18" x14ac:dyDescent="0.35">
      <c r="A134" s="68" t="s">
        <v>11</v>
      </c>
      <c r="B134" s="58">
        <f>4*(B127+C42)</f>
        <v>316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316</v>
      </c>
      <c r="S134" s="49" t="s">
        <v>0</v>
      </c>
      <c r="T134" s="49"/>
      <c r="U134" s="45" t="s">
        <v>12</v>
      </c>
      <c r="V134" s="49">
        <f>+V133*0.85</f>
        <v>4709.7465033210156</v>
      </c>
      <c r="W134" s="49" t="s">
        <v>8</v>
      </c>
      <c r="X134" s="49"/>
    </row>
    <row r="135" spans="1:24" ht="18" x14ac:dyDescent="0.35">
      <c r="A135" s="68" t="s">
        <v>2</v>
      </c>
      <c r="B135" s="58">
        <f>4*C42</f>
        <v>120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1752.7121840165316</v>
      </c>
      <c r="P135" s="4" t="s">
        <v>5</v>
      </c>
      <c r="Q135" s="49" t="s">
        <v>2</v>
      </c>
      <c r="R135" s="49">
        <f>+B135</f>
        <v>120</v>
      </c>
      <c r="S135" s="49" t="s">
        <v>0</v>
      </c>
      <c r="T135" s="49"/>
      <c r="U135" s="45" t="s">
        <v>14</v>
      </c>
      <c r="V135" s="49">
        <f>+V127/V134</f>
        <v>0.75332079921885597</v>
      </c>
      <c r="W135" s="49"/>
      <c r="X135" s="49"/>
    </row>
    <row r="136" spans="1:24" x14ac:dyDescent="0.25">
      <c r="A136" s="68" t="s">
        <v>6</v>
      </c>
      <c r="B136" s="58">
        <f>IF(2*B127/B130*(1+B127/C42)&lt;32,2*B127/B130*(1+B127/C42),32)</f>
        <v>32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10.752777777777776</v>
      </c>
      <c r="S136" s="49"/>
      <c r="T136" s="49" t="s">
        <v>9</v>
      </c>
      <c r="U136" s="45"/>
      <c r="V136" s="49"/>
      <c r="W136" s="49"/>
      <c r="X136" s="49"/>
    </row>
    <row r="137" spans="1:24" ht="18.75" x14ac:dyDescent="0.35">
      <c r="A137" s="68" t="s">
        <v>7</v>
      </c>
      <c r="B137" s="79">
        <f>+B136*(C9*1000)^0.5*B135*B127/1000</f>
        <v>10305.947642017207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21.37638888888889</v>
      </c>
      <c r="Q137" s="49" t="s">
        <v>7</v>
      </c>
      <c r="R137" s="49">
        <f>+R136*(C9*1000)^0.5*R135*B127/1000</f>
        <v>3463.0488995007468</v>
      </c>
      <c r="S137" s="49" t="s">
        <v>8</v>
      </c>
      <c r="T137" s="49" t="s">
        <v>10</v>
      </c>
      <c r="U137" s="45"/>
      <c r="V137" s="49"/>
      <c r="W137" s="49"/>
      <c r="X137" s="49"/>
    </row>
    <row r="138" spans="1:24" ht="18" x14ac:dyDescent="0.35">
      <c r="A138" s="68" t="s">
        <v>12</v>
      </c>
      <c r="B138" s="79">
        <f>+B137*0.85</f>
        <v>8760.0554957146251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6884.498270758977</v>
      </c>
      <c r="Q138" s="49" t="s">
        <v>12</v>
      </c>
      <c r="R138" s="49">
        <f>+R137*0.85</f>
        <v>2943.5915645756345</v>
      </c>
      <c r="S138" s="49" t="s">
        <v>8</v>
      </c>
      <c r="T138" s="49"/>
      <c r="U138" s="45"/>
      <c r="V138" s="49"/>
      <c r="W138" s="49"/>
      <c r="X138" s="49"/>
    </row>
    <row r="139" spans="1:24" ht="18" x14ac:dyDescent="0.35">
      <c r="A139" s="68" t="s">
        <v>14</v>
      </c>
      <c r="B139" s="74">
        <f>+B131/B138</f>
        <v>0.40501455746891546</v>
      </c>
      <c r="C139" s="48"/>
      <c r="D139" s="110" t="s">
        <v>235</v>
      </c>
      <c r="F139" s="4" t="s">
        <v>14</v>
      </c>
      <c r="G139" s="4">
        <f>+(M130+M131)/2</f>
        <v>0.80516391810954258</v>
      </c>
      <c r="H139" s="49"/>
      <c r="I139" s="50"/>
      <c r="K139" s="4">
        <f>+R131/K138</f>
        <v>0.51535345938998378</v>
      </c>
      <c r="Q139" s="49" t="s">
        <v>14</v>
      </c>
      <c r="R139" s="49">
        <f>+R131/R138</f>
        <v>1.2053132787501697</v>
      </c>
      <c r="S139" s="49"/>
      <c r="T139" s="49"/>
      <c r="U139" s="45"/>
      <c r="V139" s="49"/>
      <c r="W139" s="49"/>
      <c r="X139" s="49"/>
    </row>
    <row r="140" spans="1:24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4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  <c r="V141" s="4">
        <f>+(V139+X139)/2</f>
        <v>0</v>
      </c>
    </row>
    <row r="142" spans="1:24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4" x14ac:dyDescent="0.25">
      <c r="A143" s="68" t="s">
        <v>1</v>
      </c>
      <c r="B143" s="53">
        <f>+C20-C14-C15-P21/2</f>
        <v>49.295000000000002</v>
      </c>
      <c r="C143" s="48" t="s">
        <v>0</v>
      </c>
      <c r="D143" s="49"/>
      <c r="E143" s="49"/>
      <c r="F143" s="49"/>
      <c r="G143" s="49"/>
      <c r="H143" s="49"/>
      <c r="I143" s="50"/>
      <c r="L143" s="4" t="s">
        <v>83</v>
      </c>
      <c r="O143" s="4">
        <f>+B150/2*B100</f>
        <v>547.72255750516615</v>
      </c>
      <c r="P143" s="4" t="s">
        <v>5</v>
      </c>
    </row>
    <row r="144" spans="1:24" x14ac:dyDescent="0.25">
      <c r="A144" s="68" t="s">
        <v>64</v>
      </c>
      <c r="B144" s="58">
        <f>+C17*12/2-C42/2+C11</f>
        <v>6</v>
      </c>
      <c r="C144" s="48" t="s">
        <v>0</v>
      </c>
      <c r="D144" s="80"/>
      <c r="E144" s="49"/>
      <c r="F144" s="49"/>
      <c r="G144" s="49"/>
      <c r="H144" s="49"/>
      <c r="I144" s="50"/>
      <c r="L144" s="45" t="s">
        <v>64</v>
      </c>
      <c r="M144" s="80">
        <f>+C17*12/2-C42/2+C11+C17*12</f>
        <v>42</v>
      </c>
      <c r="N144" s="49" t="s">
        <v>0</v>
      </c>
    </row>
    <row r="145" spans="1:16" x14ac:dyDescent="0.25">
      <c r="A145" s="68" t="s">
        <v>65</v>
      </c>
      <c r="B145" s="58">
        <f>MAX(B144/B143,0)</f>
        <v>0.12171619839740339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  <c r="L145" s="45" t="s">
        <v>65</v>
      </c>
      <c r="M145" s="80">
        <f>MAX(M144/B143,0)</f>
        <v>0.85201338878182364</v>
      </c>
      <c r="N145" s="49"/>
    </row>
    <row r="146" spans="1:16" ht="18" x14ac:dyDescent="0.35">
      <c r="A146" s="68" t="s">
        <v>58</v>
      </c>
      <c r="B146" s="79">
        <f>15*1.6*C13-1.6*0.15*C21*C22*C20/12*((C21/2-C42/2/12)/C21)</f>
        <v>1791.675</v>
      </c>
      <c r="C146" s="48" t="s">
        <v>18</v>
      </c>
      <c r="D146" s="80"/>
      <c r="E146" s="49"/>
      <c r="F146" s="80"/>
      <c r="G146" s="49"/>
      <c r="H146" s="49"/>
      <c r="I146" s="50"/>
      <c r="L146" s="45" t="s">
        <v>58</v>
      </c>
      <c r="M146" s="49">
        <f>10*1.6*C13-1.6*0.15*C21*C22*C20/12*((C21/2-C42/2/12)/C21)</f>
        <v>1151.675</v>
      </c>
      <c r="N146" s="49" t="s">
        <v>8</v>
      </c>
    </row>
    <row r="147" spans="1:16" ht="18" x14ac:dyDescent="0.35">
      <c r="A147" s="68" t="s">
        <v>26</v>
      </c>
      <c r="B147" s="79">
        <f>1.6*C13*(5*B144)+1.6*C13*(5*(B144+C17*12))+1.6*C13*(5*(B144+2*C17*12))-1.6*0.15*C21*C22*C20/12*((C21/2-C42/2/12)/C21)*(C21/2-C42/2/12)*12/2</f>
        <v>74865.375</v>
      </c>
      <c r="C147" s="48" t="s">
        <v>27</v>
      </c>
      <c r="D147" s="80"/>
      <c r="E147" s="49"/>
      <c r="F147" s="80"/>
      <c r="G147" s="49"/>
      <c r="H147" s="49"/>
      <c r="I147" s="50"/>
      <c r="L147" s="45" t="s">
        <v>26</v>
      </c>
      <c r="M147" s="49">
        <f>1.6*C13*(5*(M144))+1.6*C13*(5*(M144+C17*12))-1.6*0.15*C21*C22*C20/12*((C21/2-C42/2/12)/C21)*(C21/2-C42/2/12)*12/2</f>
        <v>71025.375</v>
      </c>
      <c r="N147" s="49" t="s">
        <v>27</v>
      </c>
    </row>
    <row r="148" spans="1:16" ht="18" x14ac:dyDescent="0.35">
      <c r="A148" s="68" t="s">
        <v>66</v>
      </c>
      <c r="B148" s="58">
        <f>+B146*B143/B147</f>
        <v>1.1797258629239484</v>
      </c>
      <c r="C148" s="48"/>
      <c r="D148" s="80"/>
      <c r="E148" s="80"/>
      <c r="F148" s="80"/>
      <c r="G148" s="49"/>
      <c r="H148" s="49"/>
      <c r="I148" s="50"/>
      <c r="L148" s="45" t="s">
        <v>66</v>
      </c>
      <c r="M148" s="80">
        <f>+M146*B143/M147</f>
        <v>0.79931741472677897</v>
      </c>
      <c r="N148" s="80"/>
    </row>
    <row r="149" spans="1:16" ht="18" x14ac:dyDescent="0.35">
      <c r="A149" s="68" t="s">
        <v>447</v>
      </c>
      <c r="B149" s="58">
        <f>1/B148</f>
        <v>0.84765455384821509</v>
      </c>
      <c r="C149" s="48"/>
      <c r="D149" s="80"/>
      <c r="E149" s="80"/>
      <c r="F149" s="80"/>
      <c r="G149" s="49"/>
      <c r="H149" s="49"/>
      <c r="I149" s="50"/>
      <c r="L149" s="45" t="s">
        <v>67</v>
      </c>
      <c r="M149" s="80">
        <f>1/M148</f>
        <v>1.2510674502717021</v>
      </c>
      <c r="N149" s="8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  <c r="L150" s="45" t="s">
        <v>6</v>
      </c>
      <c r="M150" s="80">
        <f>+MIN(1/M145*(3.5-2.5*M149)*(1.9+0.1*M148),10)</f>
        <v>0.86523371119530812</v>
      </c>
      <c r="N150" s="80"/>
    </row>
    <row r="151" spans="1:16" ht="18" x14ac:dyDescent="0.35">
      <c r="A151" s="68" t="s">
        <v>12</v>
      </c>
      <c r="B151" s="79">
        <f>0.85*B150*(C9*1000)^0.5/1000*C22*12*B143</f>
        <v>3993.2975555409184</v>
      </c>
      <c r="C151" s="48" t="s">
        <v>18</v>
      </c>
      <c r="D151" s="49"/>
      <c r="E151" s="49"/>
      <c r="F151" s="49"/>
      <c r="G151" s="49"/>
      <c r="H151" s="49"/>
      <c r="I151" s="50"/>
      <c r="L151" s="45" t="s">
        <v>12</v>
      </c>
      <c r="M151" s="49">
        <f>0.85*M150*(C9*1000)^0.5/1000*C22*12*B143</f>
        <v>345.51356638878212</v>
      </c>
      <c r="N151" s="49" t="s">
        <v>8</v>
      </c>
    </row>
    <row r="152" spans="1:16" ht="18" x14ac:dyDescent="0.35">
      <c r="A152" s="68" t="s">
        <v>14</v>
      </c>
      <c r="B152" s="74">
        <f>+B146/B151</f>
        <v>0.44867054735601986</v>
      </c>
      <c r="C152" s="48"/>
      <c r="D152" s="110" t="s">
        <v>282</v>
      </c>
      <c r="F152" s="4" t="s">
        <v>14</v>
      </c>
      <c r="G152" s="88">
        <f>+IF(B144&gt;0,B152,M152)</f>
        <v>0.44867054735601986</v>
      </c>
      <c r="H152" s="49"/>
      <c r="I152" s="50"/>
      <c r="L152" s="45" t="s">
        <v>14</v>
      </c>
      <c r="M152" s="49">
        <f>+M146/M151</f>
        <v>3.33322657062936</v>
      </c>
      <c r="N152" s="49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47.885000000000005</v>
      </c>
      <c r="C156" s="48" t="s">
        <v>0</v>
      </c>
      <c r="D156" s="49"/>
      <c r="E156" s="49"/>
      <c r="F156" s="49"/>
      <c r="G156" s="49"/>
      <c r="H156" s="49"/>
      <c r="I156" s="50"/>
      <c r="L156" s="4" t="s">
        <v>83</v>
      </c>
      <c r="O156" s="4">
        <f>+B163/2*B111</f>
        <v>281.47217307794375</v>
      </c>
      <c r="P156" s="4" t="s">
        <v>5</v>
      </c>
    </row>
    <row r="157" spans="1:16" x14ac:dyDescent="0.25">
      <c r="A157" s="68" t="s">
        <v>64</v>
      </c>
      <c r="B157" s="55">
        <f>+C17*12-C42/2+C11</f>
        <v>24</v>
      </c>
      <c r="C157" s="48" t="s">
        <v>0</v>
      </c>
      <c r="D157" s="80"/>
      <c r="E157" s="49"/>
      <c r="F157" s="49"/>
      <c r="G157" s="49"/>
      <c r="H157" s="49"/>
      <c r="I157" s="50"/>
      <c r="L157" s="45" t="s">
        <v>64</v>
      </c>
      <c r="M157" s="80">
        <f>+C17*12-C42/2+C11+C17*12</f>
        <v>60</v>
      </c>
      <c r="N157" s="49" t="s">
        <v>0</v>
      </c>
    </row>
    <row r="158" spans="1:16" x14ac:dyDescent="0.25">
      <c r="A158" s="68" t="s">
        <v>65</v>
      </c>
      <c r="B158" s="58">
        <f>MAX(B157/B156,0)</f>
        <v>0.50120079356792313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  <c r="L158" s="45" t="s">
        <v>65</v>
      </c>
      <c r="M158" s="80">
        <f>MAX(M157/B156,0)</f>
        <v>1.2530019839198077</v>
      </c>
      <c r="N158" s="49"/>
    </row>
    <row r="159" spans="1:16" ht="18" x14ac:dyDescent="0.35">
      <c r="A159" s="68" t="s">
        <v>58</v>
      </c>
      <c r="B159" s="79">
        <f>12*1.6*C13-1.6*0.15*C21*C22*C20/12*((C22/2-C42/2/12)/C22)</f>
        <v>1412.1000000000001</v>
      </c>
      <c r="C159" s="48" t="s">
        <v>18</v>
      </c>
      <c r="D159" s="80"/>
      <c r="E159" s="49"/>
      <c r="F159" s="80"/>
      <c r="G159" s="49"/>
      <c r="H159" s="49"/>
      <c r="I159" s="50"/>
      <c r="L159" s="45" t="s">
        <v>58</v>
      </c>
      <c r="M159" s="49">
        <f>6*1.6*C13-1.6*0.15*C21*C22*C20/12*((C22/2-C42/2/12)/C22)</f>
        <v>644.10000000000014</v>
      </c>
      <c r="N159" s="49" t="s">
        <v>8</v>
      </c>
    </row>
    <row r="160" spans="1:16" ht="18" x14ac:dyDescent="0.35">
      <c r="A160" s="68" t="s">
        <v>26</v>
      </c>
      <c r="B160" s="79">
        <f>1.6*C13*(6*B157)+1.6*C13*(6*(B157+C17*12))-1.6*0.15*C21*C22*C20/12*((C22/2-C42/2/12)/C22)*(C22/2-C42/2/12)*12/2</f>
        <v>60051.6</v>
      </c>
      <c r="C160" s="48" t="s">
        <v>27</v>
      </c>
      <c r="D160" s="80"/>
      <c r="E160" s="49"/>
      <c r="F160" s="80"/>
      <c r="G160" s="49"/>
      <c r="H160" s="49"/>
      <c r="I160" s="50"/>
      <c r="L160" s="45" t="s">
        <v>26</v>
      </c>
      <c r="M160" s="49">
        <f>1.6*C13*(6*(M157))-1.6*0.15*C21*C22*C20/12*((C22/2-C42/2/12)/C22)*(C22/2-C42/2/12)*12/2</f>
        <v>41619.599999999999</v>
      </c>
      <c r="N160" s="49" t="s">
        <v>27</v>
      </c>
    </row>
    <row r="161" spans="1:32" ht="18" x14ac:dyDescent="0.35">
      <c r="A161" s="68" t="s">
        <v>66</v>
      </c>
      <c r="B161" s="58">
        <f>+B159*B156/B160</f>
        <v>1.1260051106048801</v>
      </c>
      <c r="C161" s="48"/>
      <c r="D161" s="80"/>
      <c r="E161" s="80"/>
      <c r="F161" s="80"/>
      <c r="G161" s="49"/>
      <c r="H161" s="49"/>
      <c r="I161" s="50"/>
      <c r="L161" s="45" t="s">
        <v>66</v>
      </c>
      <c r="M161" s="80">
        <f>+M159*B156/M160</f>
        <v>0.74106258829974359</v>
      </c>
      <c r="N161" s="80"/>
    </row>
    <row r="162" spans="1:32" ht="18" x14ac:dyDescent="0.35">
      <c r="A162" s="68" t="s">
        <v>447</v>
      </c>
      <c r="B162" s="58">
        <f>1/B161</f>
        <v>0.88809543631894239</v>
      </c>
      <c r="C162" s="48"/>
      <c r="D162" s="80"/>
      <c r="E162" s="80"/>
      <c r="F162" s="80"/>
      <c r="G162" s="49"/>
      <c r="H162" s="49"/>
      <c r="I162" s="50"/>
      <c r="L162" s="45" t="s">
        <v>67</v>
      </c>
      <c r="M162" s="80">
        <f>1/M161</f>
        <v>1.3494136875730689</v>
      </c>
      <c r="N162" s="80"/>
    </row>
    <row r="163" spans="1:32" x14ac:dyDescent="0.25">
      <c r="A163" s="68" t="s">
        <v>6</v>
      </c>
      <c r="B163" s="58">
        <f>+MIN(1/B158*(3.5-2.5*B162)*(1.9+0.1*B161),10)</f>
        <v>5.1389552834929368</v>
      </c>
      <c r="C163" s="48"/>
      <c r="D163" s="80"/>
      <c r="E163" s="80"/>
      <c r="F163" s="49"/>
      <c r="G163" s="49"/>
      <c r="H163" s="49"/>
      <c r="I163" s="50"/>
      <c r="L163" s="45" t="s">
        <v>6</v>
      </c>
      <c r="M163" s="80">
        <f>+MIN(1/M158*(3.5-2.5*M162)*(1.9+0.1*M161),10)</f>
        <v>0.19924700290722849</v>
      </c>
      <c r="N163" s="80"/>
    </row>
    <row r="164" spans="1:32" ht="18" x14ac:dyDescent="0.35">
      <c r="A164" s="68" t="s">
        <v>12</v>
      </c>
      <c r="B164" s="79">
        <f>0.85*B163*(C9*1000)^0.5/1000*C21*12*B156</f>
        <v>2405.8756588989645</v>
      </c>
      <c r="C164" s="48" t="s">
        <v>18</v>
      </c>
      <c r="D164" s="49"/>
      <c r="E164" s="49"/>
      <c r="F164" s="49"/>
      <c r="G164" s="49"/>
      <c r="H164" s="49"/>
      <c r="I164" s="50"/>
      <c r="L164" s="45" t="s">
        <v>12</v>
      </c>
      <c r="M164" s="49">
        <f>0.85*M163*(C9*1000)^0.5/1000*C21*12*B156</f>
        <v>93.280343563770018</v>
      </c>
      <c r="N164" s="49" t="s">
        <v>8</v>
      </c>
    </row>
    <row r="165" spans="1:32" ht="18" x14ac:dyDescent="0.35">
      <c r="A165" s="68" t="s">
        <v>14</v>
      </c>
      <c r="B165" s="74">
        <f>+B159/B164</f>
        <v>0.58693806339361687</v>
      </c>
      <c r="C165" s="49"/>
      <c r="D165" s="110" t="s">
        <v>282</v>
      </c>
      <c r="F165" s="4" t="s">
        <v>14</v>
      </c>
      <c r="G165" s="88">
        <f>+IF(B157&gt;0,B165,M165)</f>
        <v>0.58693806339361687</v>
      </c>
      <c r="H165" s="49"/>
      <c r="I165" s="50"/>
      <c r="L165" s="45" t="s">
        <v>14</v>
      </c>
      <c r="M165" s="49">
        <f>+M159/M164</f>
        <v>6.9049917205726059</v>
      </c>
      <c r="N165" s="49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49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46.207561728395063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24.5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57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8774.2095000000008</v>
      </c>
      <c r="U171" s="4" t="s">
        <v>35</v>
      </c>
    </row>
    <row r="172" spans="1:32" ht="18.75" x14ac:dyDescent="0.35">
      <c r="A172" s="45"/>
      <c r="B172" s="53">
        <f>+C65</f>
        <v>33</v>
      </c>
      <c r="C172" s="48" t="s">
        <v>71</v>
      </c>
      <c r="D172" s="83" t="str">
        <f>"#"&amp;+C23</f>
        <v>#11</v>
      </c>
      <c r="E172" s="49" t="s">
        <v>72</v>
      </c>
      <c r="F172" s="49" t="s">
        <v>73</v>
      </c>
      <c r="G172" s="57">
        <f>+C22-0.5</f>
        <v>14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12.205130541247049</v>
      </c>
      <c r="AF172" s="4" t="s">
        <v>5</v>
      </c>
    </row>
    <row r="173" spans="1:32" ht="18.75" x14ac:dyDescent="0.35">
      <c r="A173" s="45"/>
      <c r="B173" s="55">
        <v>0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1.7281312499999999</v>
      </c>
      <c r="H173" s="48" t="s">
        <v>74</v>
      </c>
      <c r="I173" s="50"/>
      <c r="Q173" s="4" t="s">
        <v>7</v>
      </c>
      <c r="R173" s="4">
        <f>+R172*T171/1000</f>
        <v>1922.3329869704503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2454.6572639531255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1633.9830389248827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107.09037234375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26</v>
      </c>
      <c r="C176" s="48" t="s">
        <v>71</v>
      </c>
      <c r="D176" s="83" t="str">
        <f>"#"&amp;+C24</f>
        <v>#11</v>
      </c>
      <c r="E176" s="49" t="s">
        <v>72</v>
      </c>
      <c r="F176" s="49" t="s">
        <v>73</v>
      </c>
      <c r="G176" s="57">
        <f>+C21-0.5</f>
        <v>17</v>
      </c>
      <c r="H176" s="48" t="s">
        <v>74</v>
      </c>
      <c r="I176" s="50"/>
      <c r="Q176" s="4" t="s">
        <v>14</v>
      </c>
      <c r="R176" s="4">
        <f>+R175/R174</f>
        <v>6.5539463869963191E-2</v>
      </c>
    </row>
    <row r="177" spans="1:32" x14ac:dyDescent="0.25">
      <c r="A177" s="45"/>
      <c r="B177" s="55">
        <v>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1.7281312499999999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2348.395044734375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49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4803.0523086875</v>
      </c>
      <c r="D180" s="48" t="s">
        <v>78</v>
      </c>
      <c r="E180" s="49" t="s">
        <v>79</v>
      </c>
      <c r="F180" s="88">
        <f>+C180/2000</f>
        <v>2.4015261543437498</v>
      </c>
      <c r="G180" s="48" t="s">
        <v>19</v>
      </c>
      <c r="H180" s="49"/>
      <c r="I180" s="50"/>
      <c r="Q180" s="4" t="s">
        <v>54</v>
      </c>
      <c r="T180" s="4">
        <f>+T179/2</f>
        <v>24.5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179.06550000000001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12302.209500000001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17.742778022415404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2695.2790601217407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2290.9872011034795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218.27537234375001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9.5275683879253115E-2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49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24.5</v>
      </c>
      <c r="U192" s="4" t="s">
        <v>0</v>
      </c>
      <c r="W192" s="64"/>
    </row>
    <row r="193" spans="1:54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74.766375000000011</v>
      </c>
      <c r="U193" s="4" t="s">
        <v>0</v>
      </c>
      <c r="V193" s="64"/>
      <c r="W193" s="64"/>
    </row>
    <row r="194" spans="1:54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3663.5523750000007</v>
      </c>
      <c r="U194" s="4" t="s">
        <v>35</v>
      </c>
    </row>
    <row r="195" spans="1:54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31.096209750771603</v>
      </c>
      <c r="AF195" s="4" t="s">
        <v>5</v>
      </c>
    </row>
    <row r="196" spans="1:54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802.64411055565029</v>
      </c>
      <c r="S196" s="4" t="s">
        <v>8</v>
      </c>
      <c r="T196" s="4" t="s">
        <v>87</v>
      </c>
    </row>
    <row r="197" spans="1:54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682.24749397230278</v>
      </c>
      <c r="S197" s="4" t="s">
        <v>8</v>
      </c>
    </row>
    <row r="198" spans="1:54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113.92259308593749</v>
      </c>
      <c r="S198" s="4" t="s">
        <v>8</v>
      </c>
      <c r="T198" s="4" t="s">
        <v>350</v>
      </c>
    </row>
    <row r="199" spans="1:54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0.16698132875891869</v>
      </c>
      <c r="T199" s="4" t="s">
        <v>146</v>
      </c>
      <c r="V199" s="4">
        <f>+(C18*C18+C18*T170+3.1415*T170^2/4/4)/144</f>
        <v>11.930005859375001</v>
      </c>
      <c r="W199" s="4" t="s">
        <v>147</v>
      </c>
    </row>
    <row r="200" spans="1:54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4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4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49</v>
      </c>
      <c r="U202" s="4" t="s">
        <v>0</v>
      </c>
      <c r="V202" s="4" t="s">
        <v>53</v>
      </c>
      <c r="W202" s="64"/>
    </row>
    <row r="203" spans="1:54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4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76.425999999999988</v>
      </c>
      <c r="U204" s="4" t="s">
        <v>0</v>
      </c>
      <c r="V204" s="64"/>
      <c r="W204" s="64"/>
    </row>
    <row r="205" spans="1:54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3744.8739999999993</v>
      </c>
      <c r="U205" s="4" t="s">
        <v>35</v>
      </c>
    </row>
    <row r="206" spans="1:54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30.9848684590918</v>
      </c>
      <c r="AF206" s="4" t="s">
        <v>5</v>
      </c>
    </row>
    <row r="207" spans="1:54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410.23039296292023</v>
      </c>
      <c r="S207" s="4" t="s">
        <v>8</v>
      </c>
      <c r="T207" s="4" t="s">
        <v>93</v>
      </c>
    </row>
    <row r="208" spans="1:54" ht="18" x14ac:dyDescent="0.35">
      <c r="A208" s="4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348.69583401848217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</row>
    <row r="209" spans="1:54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116.03442828587292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</row>
    <row r="210" spans="1:54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0.33276689012499833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</row>
    <row r="211" spans="1:54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</row>
    <row r="212" spans="1:54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</row>
    <row r="213" spans="1:54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</row>
    <row r="214" spans="1:54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4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4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4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4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6" orientation="portrait" r:id="rId1"/>
  <headerFooter>
    <oddHeader>&amp;R"CRSI-PILECAP" Program
Version 1.0</oddHeader>
    <oddFooter>&amp;C&amp;P of &amp;N&amp;R&amp;D  &amp;T</oddFooter>
  </headerFooter>
  <rowBreaks count="4" manualBreakCount="4">
    <brk id="43" max="8" man="1"/>
    <brk id="84" max="8" man="1"/>
    <brk id="125" max="8" man="1"/>
    <brk id="166" max="8" man="1"/>
  </rowBreaks>
  <colBreaks count="1" manualBreakCount="1">
    <brk id="9" max="206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287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4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120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240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12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7" si="2">-5*L16+3.1415*5*L16+MAX(4*L16,2.5)</f>
        <v>18.678525000000004</v>
      </c>
    </row>
    <row r="17" spans="1:22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22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ref="N18" si="3">-5*L18+3.1415*5*L18+MAX(4*L18,2.5)</f>
        <v>24.899797500000005</v>
      </c>
    </row>
    <row r="19" spans="1:22" ht="18" x14ac:dyDescent="0.35">
      <c r="A19" s="45"/>
      <c r="B19" s="46" t="s">
        <v>424</v>
      </c>
      <c r="C19" s="54">
        <f>17+30/200*C12</f>
        <v>35</v>
      </c>
      <c r="D19" s="48" t="s">
        <v>0</v>
      </c>
      <c r="E19" s="46" t="s">
        <v>260</v>
      </c>
      <c r="F19" s="57">
        <f>+C18/12/0.866</f>
        <v>2.0207852193995381</v>
      </c>
      <c r="G19" s="48" t="s">
        <v>422</v>
      </c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18.678525000000004</v>
      </c>
    </row>
    <row r="20" spans="1:22" ht="18" x14ac:dyDescent="0.35">
      <c r="A20" s="45"/>
      <c r="B20" s="46" t="s">
        <v>425</v>
      </c>
      <c r="C20" s="56">
        <v>41</v>
      </c>
      <c r="D20" s="48" t="s">
        <v>0</v>
      </c>
      <c r="E20" s="46" t="s">
        <v>261</v>
      </c>
      <c r="F20" s="74">
        <f>1.2679*C18/12</f>
        <v>2.2188250000000003</v>
      </c>
      <c r="G20" s="48" t="s">
        <v>422</v>
      </c>
      <c r="H20" s="49"/>
      <c r="I20" s="50"/>
      <c r="L20" s="4" t="s">
        <v>137</v>
      </c>
      <c r="M20" s="4" t="str">
        <f>+IF(C24=K9,N9,IF(C24=K10,N10,IF(C24=K11,N11,IF(C24=K12,N12,IF(C24=K13,N13,IF(C24=K14,N14,IF(C24=K15,N15,IF(C24=K16,N16,IF(C24=K17,N17,IF(C24=K18,N18,"NG"))))))))))</f>
        <v>NG</v>
      </c>
      <c r="R20" s="4" t="s">
        <v>289</v>
      </c>
      <c r="U20" s="4">
        <f>+(C21-F19)/2</f>
        <v>2.2396073903002307</v>
      </c>
      <c r="V20" s="4" t="s">
        <v>291</v>
      </c>
    </row>
    <row r="21" spans="1:22" x14ac:dyDescent="0.25">
      <c r="A21" s="45"/>
      <c r="B21" s="46" t="s">
        <v>426</v>
      </c>
      <c r="C21" s="53">
        <f>2*C18/12+C17</f>
        <v>6.5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1.27</v>
      </c>
      <c r="M21" s="4" t="s">
        <v>20</v>
      </c>
      <c r="N21" s="4" t="s">
        <v>37</v>
      </c>
      <c r="P21" s="4">
        <f>+IF(C24&lt;9,(C24/8),IF(C24=9,1.128,IF(C24=10,1.27,IF(C24=11,1.41,IF(C24=14,1.693,0)))))</f>
        <v>0</v>
      </c>
      <c r="Q21" s="4" t="s">
        <v>20</v>
      </c>
      <c r="R21" s="4" t="s">
        <v>290</v>
      </c>
      <c r="U21" s="4">
        <f>+(C22-F20)</f>
        <v>3.8791749999999996</v>
      </c>
      <c r="V21" s="4" t="s">
        <v>291</v>
      </c>
    </row>
    <row r="22" spans="1:22" ht="17.25" x14ac:dyDescent="0.25">
      <c r="A22" s="45"/>
      <c r="B22" s="46" t="s">
        <v>427</v>
      </c>
      <c r="C22" s="54">
        <f>2*C18/12+C17*0.866</f>
        <v>6.0979999999999999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1.2667313375</v>
      </c>
      <c r="M22" s="4" t="s">
        <v>35</v>
      </c>
      <c r="N22" s="4" t="s">
        <v>38</v>
      </c>
      <c r="P22" s="4">
        <f>3.1415*P21^2/4</f>
        <v>0</v>
      </c>
      <c r="Q22" s="4" t="s">
        <v>35</v>
      </c>
      <c r="R22" s="4" t="s">
        <v>288</v>
      </c>
      <c r="U22" s="4">
        <f>+U21*U20*0.5</f>
        <v>4.3439144991339482</v>
      </c>
      <c r="V22" s="4" t="s">
        <v>291</v>
      </c>
    </row>
    <row r="23" spans="1:22" x14ac:dyDescent="0.25">
      <c r="A23" s="45"/>
      <c r="B23" s="46" t="s">
        <v>428</v>
      </c>
      <c r="C23" s="56">
        <v>10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22" x14ac:dyDescent="0.25">
      <c r="A24" s="45"/>
      <c r="B24" s="46" t="s">
        <v>452</v>
      </c>
      <c r="C24" s="97"/>
      <c r="D24" s="48"/>
      <c r="E24" s="49"/>
      <c r="F24" s="49"/>
      <c r="G24" s="49"/>
      <c r="H24" s="49"/>
      <c r="I24" s="50"/>
    </row>
    <row r="25" spans="1:22" ht="18" x14ac:dyDescent="0.35">
      <c r="A25" s="45"/>
      <c r="B25" s="46" t="s">
        <v>430</v>
      </c>
      <c r="C25" s="57">
        <f>+C20-C14-C15-P21-0.5*L21</f>
        <v>31.364999999999998</v>
      </c>
      <c r="D25" s="48" t="s">
        <v>0</v>
      </c>
      <c r="E25" s="49"/>
      <c r="F25" s="49"/>
      <c r="G25" s="49"/>
      <c r="H25" s="49"/>
      <c r="I25" s="50"/>
      <c r="J25" s="4" t="s">
        <v>112</v>
      </c>
      <c r="O25" s="4" t="s">
        <v>292</v>
      </c>
      <c r="R25" s="4">
        <f>+F20</f>
        <v>2.2188250000000003</v>
      </c>
      <c r="S25" s="4" t="s">
        <v>0</v>
      </c>
    </row>
    <row r="26" spans="1:22" ht="18" x14ac:dyDescent="0.35">
      <c r="A26" s="45"/>
      <c r="B26" s="46" t="s">
        <v>431</v>
      </c>
      <c r="C26" s="58">
        <f>+C20-C14-C15-P21/2</f>
        <v>32</v>
      </c>
      <c r="D26" s="48" t="s">
        <v>0</v>
      </c>
      <c r="E26" s="49"/>
      <c r="F26" s="49"/>
      <c r="G26" s="49"/>
      <c r="H26" s="49"/>
      <c r="I26" s="50"/>
      <c r="P26" s="93"/>
      <c r="Q26" s="93"/>
      <c r="R26" s="93"/>
      <c r="S26" s="93"/>
      <c r="T26" s="93"/>
      <c r="U26" s="93"/>
    </row>
    <row r="27" spans="1:22" ht="18" x14ac:dyDescent="0.35">
      <c r="A27" s="45"/>
      <c r="B27" s="46" t="s">
        <v>432</v>
      </c>
      <c r="C27" s="96">
        <f>+C20-C14-C15-1</f>
        <v>31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13.540749682261449</v>
      </c>
      <c r="P27" s="93"/>
      <c r="Q27" s="93"/>
      <c r="R27" s="93"/>
      <c r="S27" s="93"/>
      <c r="T27" s="93"/>
      <c r="U27" s="93"/>
    </row>
    <row r="28" spans="1:22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22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12</v>
      </c>
    </row>
    <row r="30" spans="1:22" x14ac:dyDescent="0.25">
      <c r="A30" s="45" t="s">
        <v>123</v>
      </c>
      <c r="B30" s="49"/>
      <c r="C30" s="49"/>
      <c r="D30" s="49"/>
      <c r="E30" s="62" t="str">
        <f>+IF(C58&gt;C56,"NG; select smaller bar size","OK")</f>
        <v>OK</v>
      </c>
      <c r="F30" s="49"/>
      <c r="G30" s="49"/>
      <c r="H30" s="49"/>
      <c r="I30" s="50"/>
    </row>
    <row r="31" spans="1:22" ht="18.75" x14ac:dyDescent="0.3">
      <c r="A31" s="45" t="s">
        <v>124</v>
      </c>
      <c r="B31" s="49"/>
      <c r="C31" s="49"/>
      <c r="D31" s="49"/>
      <c r="E31" s="62" t="str">
        <f>+IF(C81&gt;C79,"NG; select smaller bar size","OK")</f>
        <v>OK</v>
      </c>
      <c r="F31" s="49"/>
      <c r="G31" s="49"/>
      <c r="H31" s="49"/>
      <c r="I31" s="50"/>
      <c r="J31" s="63" t="s">
        <v>84</v>
      </c>
    </row>
    <row r="32" spans="1:22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31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">
        <v>299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15.5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43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applicable",IF(B139&lt;1,"OK","NG"))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4187.6195000000007</v>
      </c>
      <c r="N35" s="4" t="s">
        <v>35</v>
      </c>
    </row>
    <row r="36" spans="1:25" ht="18.75" x14ac:dyDescent="0.35">
      <c r="A36" s="45" t="s">
        <v>129</v>
      </c>
      <c r="B36" s="49"/>
      <c r="C36" s="62" t="s">
        <v>299</v>
      </c>
      <c r="D36" s="49"/>
      <c r="E36" s="49"/>
      <c r="F36" s="49"/>
      <c r="G36" s="46" t="s">
        <v>346</v>
      </c>
      <c r="H36" s="62" t="str">
        <f>+IF(R210&lt;1,"OK","NG")</f>
        <v>NG</v>
      </c>
      <c r="I36" s="50"/>
      <c r="J36" s="4" t="s">
        <v>3</v>
      </c>
      <c r="K36" s="4">
        <f>4*(C9*1000)^0.5</f>
        <v>252.98221281347034</v>
      </c>
      <c r="L36" s="4" t="s">
        <v>5</v>
      </c>
      <c r="U36" s="4" t="s">
        <v>86</v>
      </c>
      <c r="X36" s="4">
        <f>+K39/M35*1000</f>
        <v>89.724189317827879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+IF(F165&lt;1,"OK","NG")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1059.3932475308384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900.48426040121262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375.73076480902779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1.6*3*C13-1.6*C21*C22*C20/12*0.15+1.6*2*U22*C20/12*0.15</f>
        <v>1126.6216797785798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0.41725411684777275</v>
      </c>
    </row>
    <row r="41" spans="1:25" x14ac:dyDescent="0.25">
      <c r="A41" s="45"/>
      <c r="B41" s="46" t="s">
        <v>433</v>
      </c>
      <c r="C41" s="58">
        <f>+(C40/3.1415)^0.5</f>
        <v>18.937407305151776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19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293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1.6*C13*(1*(0.5*0.866*C17*12+C11-C42/4))-1.6*(R25/2-C42/12/4)*C21*C20/12*0.15*(R25/2-C42/12/4)*12/2</f>
        <v>5297.5079366373202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+C45/R25</f>
        <v>2387.528505689867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31.364999999999998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1.4703831107592436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+C48*R25</f>
        <v>3.262522805730379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4.3500304076405056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3*(C9*1000)^0.5*R25*12*C47/C10/1000</f>
        <v>2.6408855997026297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200*R25*12*C47/C10/1000</f>
        <v>2.7837378450000001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2.7837378450000001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+IF(C10=60,0.0018*R25*12*C20,0.002*R25*12*C20)</f>
        <v>1.96499142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58">
        <f>+IF(C49&gt;C53,C49,IF(C50&gt;C53,C53,IF(C50&gt;C54,C50,C54)))</f>
        <v>3.262522805730379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45"/>
      <c r="B56" s="46" t="s">
        <v>440</v>
      </c>
      <c r="C56" s="79">
        <f>+C18-C11</f>
        <v>18</v>
      </c>
      <c r="D56" s="48" t="s">
        <v>0</v>
      </c>
      <c r="E56" s="49" t="s">
        <v>52</v>
      </c>
      <c r="F56" s="49"/>
      <c r="G56" s="49"/>
      <c r="H56" s="49"/>
      <c r="I56" s="50"/>
    </row>
    <row r="57" spans="1:9" ht="18" x14ac:dyDescent="0.35">
      <c r="A57" s="45"/>
      <c r="B57" s="46" t="s">
        <v>51</v>
      </c>
      <c r="C57" s="55">
        <v>1</v>
      </c>
      <c r="D57" s="48"/>
      <c r="E57" s="49" t="s">
        <v>50</v>
      </c>
      <c r="F57" s="49"/>
      <c r="G57" s="49"/>
      <c r="H57" s="49"/>
      <c r="I57" s="50"/>
    </row>
    <row r="58" spans="1:9" ht="18" x14ac:dyDescent="0.35">
      <c r="A58" s="45"/>
      <c r="B58" s="46" t="s">
        <v>48</v>
      </c>
      <c r="C58" s="58">
        <f>0.02*C57*C10*1000/(C9*1000)^0.5*L21*0.7</f>
        <v>16.867589039338135</v>
      </c>
      <c r="D58" s="48" t="s">
        <v>0</v>
      </c>
      <c r="E58" s="49" t="str">
        <f>+IF(C58&gt;C56,"NG; insufficient length available to develop hook","OK; sufficient length available to develop hook")</f>
        <v>OK; sufficient length available to develop hook</v>
      </c>
      <c r="F58" s="49"/>
      <c r="G58" s="49"/>
      <c r="H58" s="49"/>
      <c r="I58" s="50"/>
    </row>
    <row r="59" spans="1:9" x14ac:dyDescent="0.25">
      <c r="A59" s="45"/>
      <c r="B59" s="46" t="s">
        <v>441</v>
      </c>
      <c r="C59" s="78">
        <f>+C55/L22</f>
        <v>2.5755444024691454</v>
      </c>
      <c r="D59" s="48"/>
      <c r="E59" s="49"/>
      <c r="F59" s="49"/>
      <c r="G59" s="49"/>
      <c r="H59" s="49"/>
      <c r="I59" s="50"/>
    </row>
    <row r="60" spans="1:9" x14ac:dyDescent="0.25">
      <c r="A60" s="45"/>
      <c r="B60" s="46" t="s">
        <v>442</v>
      </c>
      <c r="C60" s="98">
        <v>4</v>
      </c>
      <c r="D60" s="48"/>
      <c r="E60" s="49"/>
      <c r="F60" s="49"/>
      <c r="G60" s="49"/>
      <c r="H60" s="49"/>
      <c r="I60" s="50"/>
    </row>
    <row r="61" spans="1:9" x14ac:dyDescent="0.25">
      <c r="A61" s="45"/>
      <c r="B61" s="49"/>
      <c r="C61" s="49"/>
      <c r="D61" s="49"/>
      <c r="E61" s="49"/>
      <c r="F61" s="49"/>
      <c r="G61" s="49"/>
      <c r="H61" s="49"/>
      <c r="I61" s="50"/>
    </row>
    <row r="62" spans="1:9" x14ac:dyDescent="0.25">
      <c r="A62" s="45"/>
      <c r="B62" s="49"/>
      <c r="C62" s="49"/>
      <c r="D62" s="49"/>
      <c r="E62" s="49"/>
      <c r="F62" s="49"/>
      <c r="G62" s="49"/>
      <c r="H62" s="49"/>
      <c r="I62" s="50"/>
    </row>
    <row r="63" spans="1:9" x14ac:dyDescent="0.25">
      <c r="A63" s="45"/>
      <c r="B63" s="49"/>
      <c r="C63" s="49"/>
      <c r="D63" s="49"/>
      <c r="E63" s="49"/>
      <c r="F63" s="49"/>
      <c r="G63" s="49"/>
      <c r="H63" s="49"/>
      <c r="I63" s="50"/>
    </row>
    <row r="64" spans="1:9" x14ac:dyDescent="0.25">
      <c r="A64" s="45"/>
      <c r="B64" s="49"/>
      <c r="C64" s="49"/>
      <c r="D64" s="49"/>
      <c r="E64" s="49"/>
      <c r="F64" s="49"/>
      <c r="G64" s="49"/>
      <c r="H64" s="49"/>
      <c r="I64" s="50"/>
    </row>
    <row r="65" spans="1:9" x14ac:dyDescent="0.25">
      <c r="A65" s="45"/>
      <c r="B65" s="49"/>
      <c r="C65" s="49"/>
      <c r="D65" s="49"/>
      <c r="E65" s="49"/>
      <c r="F65" s="49"/>
      <c r="G65" s="49"/>
      <c r="H65" s="49"/>
      <c r="I65" s="50"/>
    </row>
    <row r="66" spans="1:9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9" ht="18.75" x14ac:dyDescent="0.3">
      <c r="A67" s="94"/>
      <c r="B67" s="49"/>
      <c r="C67" s="49"/>
      <c r="D67" s="49"/>
      <c r="E67" s="49"/>
      <c r="F67" s="49"/>
      <c r="G67" s="49"/>
      <c r="H67" s="49"/>
      <c r="I67" s="50"/>
    </row>
    <row r="68" spans="1:9" x14ac:dyDescent="0.25">
      <c r="A68" s="45"/>
      <c r="B68" s="49"/>
      <c r="C68" s="49"/>
      <c r="D68" s="49"/>
      <c r="E68" s="49"/>
      <c r="F68" s="49"/>
      <c r="G68" s="49"/>
      <c r="H68" s="49"/>
      <c r="I68" s="50"/>
    </row>
    <row r="69" spans="1:9" x14ac:dyDescent="0.25">
      <c r="A69" s="45"/>
      <c r="B69" s="49"/>
      <c r="C69" s="49"/>
      <c r="D69" s="49"/>
      <c r="E69" s="49"/>
      <c r="F69" s="49"/>
      <c r="G69" s="49"/>
      <c r="H69" s="49"/>
      <c r="I69" s="50"/>
    </row>
    <row r="70" spans="1:9" x14ac:dyDescent="0.25">
      <c r="A70" s="45"/>
      <c r="B70" s="49"/>
      <c r="C70" s="49"/>
      <c r="D70" s="49"/>
      <c r="E70" s="49"/>
      <c r="F70" s="49"/>
      <c r="G70" s="49"/>
      <c r="H70" s="49"/>
      <c r="I70" s="50"/>
    </row>
    <row r="71" spans="1:9" x14ac:dyDescent="0.25">
      <c r="A71" s="45"/>
      <c r="B71" s="49"/>
      <c r="C71" s="49"/>
      <c r="D71" s="49"/>
      <c r="E71" s="49"/>
      <c r="F71" s="49"/>
      <c r="G71" s="49"/>
      <c r="H71" s="49"/>
      <c r="I71" s="50"/>
    </row>
    <row r="72" spans="1:9" x14ac:dyDescent="0.25">
      <c r="A72" s="45"/>
      <c r="B72" s="49"/>
      <c r="C72" s="49"/>
      <c r="D72" s="49"/>
      <c r="E72" s="49"/>
      <c r="F72" s="49"/>
      <c r="G72" s="49"/>
      <c r="H72" s="49"/>
      <c r="I72" s="50"/>
    </row>
    <row r="73" spans="1:9" x14ac:dyDescent="0.25">
      <c r="A73" s="45"/>
      <c r="B73" s="49"/>
      <c r="C73" s="49"/>
      <c r="D73" s="49"/>
      <c r="E73" s="49"/>
      <c r="F73" s="49"/>
      <c r="G73" s="49"/>
      <c r="H73" s="49"/>
      <c r="I73" s="50"/>
    </row>
    <row r="74" spans="1:9" x14ac:dyDescent="0.25">
      <c r="A74" s="45"/>
      <c r="B74" s="49"/>
      <c r="C74" s="49"/>
      <c r="D74" s="49"/>
      <c r="E74" s="49"/>
      <c r="F74" s="49"/>
      <c r="G74" s="49"/>
      <c r="H74" s="49"/>
      <c r="I74" s="50"/>
    </row>
    <row r="75" spans="1:9" x14ac:dyDescent="0.25">
      <c r="A75" s="45"/>
      <c r="B75" s="49"/>
      <c r="C75" s="49"/>
      <c r="D75" s="49"/>
      <c r="E75" s="49"/>
      <c r="F75" s="49"/>
      <c r="G75" s="49"/>
      <c r="H75" s="49"/>
      <c r="I75" s="50"/>
    </row>
    <row r="76" spans="1:9" x14ac:dyDescent="0.25">
      <c r="A76" s="45"/>
      <c r="B76" s="49"/>
      <c r="C76" s="49"/>
      <c r="D76" s="49"/>
      <c r="E76" s="49"/>
      <c r="F76" s="49"/>
      <c r="G76" s="49"/>
      <c r="H76" s="49"/>
      <c r="I76" s="50"/>
    </row>
    <row r="77" spans="1:9" x14ac:dyDescent="0.25">
      <c r="A77" s="45"/>
      <c r="B77" s="49"/>
      <c r="C77" s="49"/>
      <c r="D77" s="49"/>
      <c r="E77" s="49"/>
      <c r="F77" s="49"/>
      <c r="G77" s="49"/>
      <c r="H77" s="49"/>
      <c r="I77" s="50"/>
    </row>
    <row r="78" spans="1:9" x14ac:dyDescent="0.25">
      <c r="A78" s="45"/>
      <c r="B78" s="49"/>
      <c r="C78" s="49"/>
      <c r="D78" s="49"/>
      <c r="E78" s="49"/>
      <c r="F78" s="49"/>
      <c r="G78" s="49"/>
      <c r="H78" s="49"/>
      <c r="I78" s="50"/>
    </row>
    <row r="79" spans="1:9" x14ac:dyDescent="0.25">
      <c r="A79" s="45"/>
      <c r="B79" s="49"/>
      <c r="C79" s="49"/>
      <c r="D79" s="49"/>
      <c r="E79" s="49"/>
      <c r="F79" s="49"/>
      <c r="G79" s="49"/>
      <c r="H79" s="49"/>
      <c r="I79" s="50"/>
    </row>
    <row r="80" spans="1:9" x14ac:dyDescent="0.25">
      <c r="A80" s="45"/>
      <c r="B80" s="49"/>
      <c r="C80" s="49"/>
      <c r="D80" s="49"/>
      <c r="E80" s="49"/>
      <c r="F80" s="49"/>
      <c r="G80" s="49"/>
      <c r="H80" s="49"/>
      <c r="I80" s="50"/>
    </row>
    <row r="81" spans="1:17" x14ac:dyDescent="0.25">
      <c r="A81" s="45"/>
      <c r="B81" s="49"/>
      <c r="C81" s="49"/>
      <c r="D81" s="49"/>
      <c r="E81" s="49"/>
      <c r="F81" s="49"/>
      <c r="G81" s="49"/>
      <c r="H81" s="49"/>
      <c r="I81" s="50"/>
    </row>
    <row r="82" spans="1:17" x14ac:dyDescent="0.25">
      <c r="A82" s="45"/>
      <c r="B82" s="49"/>
      <c r="C82" s="49"/>
      <c r="D82" s="49"/>
      <c r="E82" s="49"/>
      <c r="F82" s="49"/>
      <c r="G82" s="49"/>
      <c r="H82" s="49"/>
      <c r="I82" s="50"/>
    </row>
    <row r="83" spans="1:17" x14ac:dyDescent="0.25">
      <c r="A83" s="45"/>
      <c r="B83" s="49"/>
      <c r="C83" s="49"/>
      <c r="D83" s="49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31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25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15.5</v>
      </c>
      <c r="C87" s="48" t="s">
        <v>0</v>
      </c>
      <c r="D87" s="49"/>
      <c r="E87" s="49"/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+C17/2*12/0.866+C11</f>
        <v>23.785219399538107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+IF(M86&gt;O87,0,3)</f>
        <v>0</v>
      </c>
      <c r="F88" s="49"/>
      <c r="G88" s="49"/>
      <c r="H88" s="49"/>
      <c r="I88" s="50"/>
      <c r="K88" s="64"/>
      <c r="L88" s="64"/>
      <c r="M88" s="64"/>
      <c r="N88" s="64"/>
      <c r="O88" s="64"/>
    </row>
    <row r="89" spans="1:17" ht="18.75" x14ac:dyDescent="0.35">
      <c r="A89" s="68" t="s">
        <v>3</v>
      </c>
      <c r="B89" s="69">
        <f>4*(C9*1000)^0.5</f>
        <v>252.98221281347034</v>
      </c>
      <c r="C89" s="48" t="s">
        <v>5</v>
      </c>
      <c r="D89" s="49"/>
      <c r="E89" s="49"/>
      <c r="F89" s="49"/>
      <c r="G89" s="49"/>
      <c r="H89" s="49"/>
      <c r="I89" s="50"/>
    </row>
    <row r="90" spans="1:17" ht="18" x14ac:dyDescent="0.35">
      <c r="A90" s="68" t="s">
        <v>11</v>
      </c>
      <c r="B90" s="55">
        <f>3.1415*(B86+C42)</f>
        <v>157.07500000000002</v>
      </c>
      <c r="C90" s="48" t="s">
        <v>0</v>
      </c>
      <c r="D90" s="49"/>
      <c r="E90" s="49"/>
      <c r="F90" s="49"/>
      <c r="G90" s="49"/>
      <c r="H90" s="49"/>
      <c r="I90" s="50"/>
    </row>
    <row r="91" spans="1:17" ht="18.75" x14ac:dyDescent="0.35">
      <c r="A91" s="68" t="s">
        <v>7</v>
      </c>
      <c r="B91" s="79">
        <f>+B89*B90*B86/1000</f>
        <v>1231.8526134079516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252.98221281347034</v>
      </c>
      <c r="P91" s="4" t="s">
        <v>5</v>
      </c>
    </row>
    <row r="92" spans="1:17" ht="18" x14ac:dyDescent="0.35">
      <c r="A92" s="68" t="s">
        <v>12</v>
      </c>
      <c r="B92" s="79">
        <f>+B91*0.85</f>
        <v>1047.0747213967588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+E88*1.6*C13-1.6*0.15*C21*C22*C20/12+1.6*0.15*2*U22*C20/12+1.6*0.15*3.1415*M86^2/4/144*C20/12</f>
        <v>-22.583148780448106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-2.156784832922241E-2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94"/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94"/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45"/>
      <c r="B98" s="49"/>
      <c r="C98" s="49"/>
      <c r="D98" s="49"/>
      <c r="E98" s="49"/>
      <c r="F98" s="49"/>
      <c r="G98" s="49"/>
      <c r="H98" s="49"/>
      <c r="I98" s="50"/>
      <c r="K98" s="64"/>
      <c r="M98" s="64"/>
      <c r="O98" s="64"/>
    </row>
    <row r="99" spans="1:17" x14ac:dyDescent="0.25">
      <c r="A99" s="45"/>
      <c r="B99" s="80"/>
      <c r="C99" s="80"/>
      <c r="D99" s="80"/>
      <c r="E99" s="80"/>
      <c r="F99" s="49"/>
      <c r="G99" s="49"/>
      <c r="H99" s="49"/>
      <c r="I99" s="50"/>
      <c r="K99" s="64"/>
      <c r="L99" s="64"/>
      <c r="M99" s="64"/>
      <c r="N99" s="64"/>
      <c r="O99" s="64"/>
    </row>
    <row r="100" spans="1:17" x14ac:dyDescent="0.25">
      <c r="A100" s="45"/>
      <c r="B100" s="49"/>
      <c r="C100" s="49"/>
      <c r="D100" s="49"/>
      <c r="E100" s="49"/>
      <c r="F100" s="49"/>
      <c r="G100" s="49"/>
      <c r="H100" s="49"/>
      <c r="I100" s="50"/>
    </row>
    <row r="101" spans="1:17" x14ac:dyDescent="0.25">
      <c r="A101" s="45"/>
      <c r="B101" s="49"/>
      <c r="C101" s="49"/>
      <c r="D101" s="49"/>
      <c r="E101" s="49"/>
      <c r="F101" s="49"/>
      <c r="G101" s="49"/>
      <c r="H101" s="49"/>
      <c r="I101" s="50"/>
    </row>
    <row r="102" spans="1:17" x14ac:dyDescent="0.25">
      <c r="A102" s="45"/>
      <c r="B102" s="49"/>
      <c r="C102" s="49"/>
      <c r="D102" s="49"/>
      <c r="E102" s="49"/>
      <c r="F102" s="49"/>
      <c r="G102" s="49"/>
      <c r="H102" s="49"/>
      <c r="I102" s="50"/>
    </row>
    <row r="103" spans="1:17" x14ac:dyDescent="0.25">
      <c r="A103" s="45"/>
      <c r="B103" s="49"/>
      <c r="C103" s="49"/>
      <c r="D103" s="49"/>
      <c r="E103" s="49"/>
      <c r="F103" s="49"/>
      <c r="G103" s="49"/>
      <c r="H103" s="49"/>
      <c r="I103" s="50"/>
    </row>
    <row r="104" spans="1:17" x14ac:dyDescent="0.25">
      <c r="A104" s="45"/>
      <c r="B104" s="49"/>
      <c r="C104" s="49"/>
      <c r="D104" s="49"/>
      <c r="E104" s="49"/>
      <c r="F104" s="49"/>
      <c r="G104" s="49"/>
      <c r="H104" s="49"/>
      <c r="I104" s="50"/>
    </row>
    <row r="105" spans="1:17" x14ac:dyDescent="0.25">
      <c r="A105" s="45"/>
      <c r="B105" s="49"/>
      <c r="C105" s="49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+C20-C14-C15-1</f>
        <v>31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40.5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+IF(M109&gt;O110,0,1)</f>
        <v>0</v>
      </c>
      <c r="F110" s="49"/>
      <c r="G110" s="49"/>
      <c r="H110" s="49"/>
      <c r="I110" s="50"/>
      <c r="J110" s="4" t="s">
        <v>295</v>
      </c>
      <c r="K110" s="64"/>
      <c r="L110" s="64"/>
      <c r="M110" s="64"/>
      <c r="N110" s="64"/>
      <c r="O110" s="64">
        <f>0.5*C17*12/0.866+C11</f>
        <v>23.785219399538107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126.49110640673517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+M116*12*B109</f>
        <v>797.65012241671673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126.49110640673517</v>
      </c>
      <c r="P112" s="4" t="s">
        <v>5</v>
      </c>
    </row>
    <row r="113" spans="1:17" ht="18.75" x14ac:dyDescent="0.35">
      <c r="A113" s="68" t="s">
        <v>7</v>
      </c>
      <c r="B113" s="79">
        <f>+B111*B112/1000</f>
        <v>100.89564650995825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17" ht="18" x14ac:dyDescent="0.35">
      <c r="A114" s="68" t="s">
        <v>12</v>
      </c>
      <c r="B114" s="79">
        <f>+B113*0.85</f>
        <v>85.761299533464509</v>
      </c>
      <c r="C114" s="48" t="s">
        <v>18</v>
      </c>
      <c r="D114" s="49"/>
      <c r="E114" s="49"/>
      <c r="F114" s="49"/>
      <c r="G114" s="49"/>
      <c r="H114" s="49"/>
      <c r="I114" s="50"/>
      <c r="N114" s="4" t="s">
        <v>296</v>
      </c>
      <c r="Q114" s="4">
        <f>+C18/12+0.2887*C17</f>
        <v>2.6161000000000003</v>
      </c>
    </row>
    <row r="115" spans="1:17" ht="18" x14ac:dyDescent="0.35">
      <c r="A115" s="68" t="s">
        <v>58</v>
      </c>
      <c r="B115" s="79">
        <f>+E110*C13*1.6</f>
        <v>0</v>
      </c>
      <c r="C115" s="48" t="s">
        <v>18</v>
      </c>
      <c r="D115" s="49" t="s">
        <v>132</v>
      </c>
      <c r="E115" s="49"/>
      <c r="F115" s="49"/>
      <c r="G115" s="49"/>
      <c r="H115" s="49"/>
      <c r="I115" s="50"/>
      <c r="L115" s="4" t="s">
        <v>270</v>
      </c>
      <c r="M115" s="4">
        <f>+C21</f>
        <v>6.5</v>
      </c>
      <c r="N115" s="4" t="s">
        <v>298</v>
      </c>
      <c r="Q115" s="4">
        <f>+(C21-F19)/(C22-F20)</f>
        <v>1.1546823179156551</v>
      </c>
    </row>
    <row r="116" spans="1:17" ht="18" x14ac:dyDescent="0.35">
      <c r="A116" s="68" t="s">
        <v>14</v>
      </c>
      <c r="B116" s="84">
        <f>+B115/B114</f>
        <v>0</v>
      </c>
      <c r="C116" s="48"/>
      <c r="D116" s="49"/>
      <c r="E116" s="49"/>
      <c r="F116" s="49"/>
      <c r="G116" s="49"/>
      <c r="H116" s="49"/>
      <c r="I116" s="50"/>
      <c r="L116" s="4" t="s">
        <v>269</v>
      </c>
      <c r="M116" s="4">
        <f>Q116-M109/12*Q115</f>
        <v>2.1442207591847224</v>
      </c>
      <c r="N116" s="4" t="s">
        <v>297</v>
      </c>
      <c r="Q116" s="4">
        <f>+M115-(Q114-F20)*Q115</f>
        <v>6.0412735821500583</v>
      </c>
    </row>
    <row r="117" spans="1:17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17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17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17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17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17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17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17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17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17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17" x14ac:dyDescent="0.25">
      <c r="A127" s="68" t="s">
        <v>1</v>
      </c>
      <c r="B127" s="53">
        <f>+C20-C14-C15-1</f>
        <v>31</v>
      </c>
      <c r="C127" s="48" t="s">
        <v>0</v>
      </c>
      <c r="F127" s="49"/>
      <c r="G127" s="49"/>
      <c r="H127" s="49"/>
      <c r="I127" s="50"/>
    </row>
    <row r="128" spans="1:17" x14ac:dyDescent="0.25">
      <c r="A128" s="68" t="s">
        <v>54</v>
      </c>
      <c r="B128" s="54">
        <f>+B127/2</f>
        <v>15.5</v>
      </c>
      <c r="C128" s="48" t="s">
        <v>0</v>
      </c>
      <c r="F128" s="49"/>
      <c r="G128" s="49"/>
      <c r="H128" s="49"/>
      <c r="I128" s="50"/>
    </row>
    <row r="129" spans="1:16" x14ac:dyDescent="0.25">
      <c r="A129" s="68"/>
      <c r="B129" s="49"/>
      <c r="C129" s="48"/>
      <c r="D129" s="46" t="s">
        <v>453</v>
      </c>
      <c r="E129" s="83">
        <v>3</v>
      </c>
      <c r="G129" s="49"/>
      <c r="H129" s="49"/>
      <c r="I129" s="50"/>
    </row>
    <row r="130" spans="1:16" ht="18" x14ac:dyDescent="0.35">
      <c r="A130" s="68" t="s">
        <v>454</v>
      </c>
      <c r="B130" s="57">
        <f>+C17*12/2/0.866-C42/2+C11</f>
        <v>14.285219399538107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</row>
    <row r="131" spans="1:16" ht="18" x14ac:dyDescent="0.35">
      <c r="A131" s="68" t="s">
        <v>58</v>
      </c>
      <c r="B131" s="79">
        <f>+C13*E129*1.6-1.6*0.15*C21*C22*C20/12+1.6*0.15*2*U22*C20/12+1.6*0.15*3.1415*C42^2/4/144*C20/12</f>
        <v>1128.2361708028852</v>
      </c>
      <c r="C131" s="48" t="s">
        <v>18</v>
      </c>
      <c r="D131" s="49"/>
      <c r="E131" s="49"/>
      <c r="F131" s="49"/>
      <c r="G131" s="49"/>
      <c r="H131" s="49"/>
      <c r="I131" s="50"/>
    </row>
    <row r="132" spans="1:16" ht="18.75" x14ac:dyDescent="0.35">
      <c r="A132" s="68" t="s">
        <v>3</v>
      </c>
      <c r="B132" s="79">
        <f>4*(C9*1000)^0.5</f>
        <v>252.98221281347034</v>
      </c>
      <c r="C132" s="48" t="s">
        <v>5</v>
      </c>
      <c r="D132" s="49"/>
      <c r="E132" s="49"/>
      <c r="F132" s="49"/>
      <c r="G132" s="49"/>
      <c r="H132" s="49"/>
      <c r="I132" s="50"/>
    </row>
    <row r="133" spans="1:16" ht="18.75" x14ac:dyDescent="0.35">
      <c r="A133" s="68" t="s">
        <v>4</v>
      </c>
      <c r="B133" s="79">
        <f>+B132*8</f>
        <v>2023.8577025077627</v>
      </c>
      <c r="C133" s="48" t="s">
        <v>5</v>
      </c>
      <c r="D133" s="49"/>
      <c r="E133" s="49"/>
      <c r="F133" s="49"/>
      <c r="G133" s="49"/>
      <c r="H133" s="49"/>
      <c r="I133" s="50"/>
    </row>
    <row r="134" spans="1:16" ht="18" x14ac:dyDescent="0.35">
      <c r="A134" s="68" t="s">
        <v>11</v>
      </c>
      <c r="B134" s="58">
        <f>3.1415*(B127+C42)</f>
        <v>157.07500000000002</v>
      </c>
      <c r="C134" s="48" t="s">
        <v>0</v>
      </c>
      <c r="D134" s="49"/>
      <c r="E134" s="49"/>
      <c r="F134" s="49"/>
      <c r="G134" s="49"/>
      <c r="H134" s="49"/>
      <c r="I134" s="50"/>
    </row>
    <row r="135" spans="1:16" ht="18" x14ac:dyDescent="0.35">
      <c r="A135" s="68" t="s">
        <v>2</v>
      </c>
      <c r="B135" s="58">
        <f>3.1415*C42</f>
        <v>59.688500000000005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722.35581572251158</v>
      </c>
      <c r="P135" s="4" t="s">
        <v>5</v>
      </c>
    </row>
    <row r="136" spans="1:16" x14ac:dyDescent="0.25">
      <c r="A136" s="68" t="s">
        <v>6</v>
      </c>
      <c r="B136" s="58">
        <f>IF(2*B127/B130*(1+B127/C42)&lt;32,2*B127/B130*(1+B127/C42),32)</f>
        <v>11.421448293760024</v>
      </c>
      <c r="C136" s="48"/>
      <c r="D136" s="49" t="s">
        <v>9</v>
      </c>
      <c r="E136" s="49"/>
      <c r="F136" s="49"/>
      <c r="G136" s="49"/>
      <c r="H136" s="49"/>
      <c r="I136" s="50"/>
    </row>
    <row r="137" spans="1:16" ht="18.75" x14ac:dyDescent="0.35">
      <c r="A137" s="68" t="s">
        <v>7</v>
      </c>
      <c r="B137" s="79">
        <f>+B136*(C9*1000)^0.5*B135*B127/1000</f>
        <v>1336.6063883093473</v>
      </c>
      <c r="C137" s="48" t="s">
        <v>18</v>
      </c>
      <c r="D137" s="49" t="s">
        <v>10</v>
      </c>
      <c r="E137" s="49"/>
      <c r="F137" s="49"/>
      <c r="G137" s="49"/>
      <c r="H137" s="49"/>
      <c r="I137" s="50"/>
    </row>
    <row r="138" spans="1:16" ht="18" x14ac:dyDescent="0.35">
      <c r="A138" s="68" t="s">
        <v>12</v>
      </c>
      <c r="B138" s="79">
        <f>+B137*0.85</f>
        <v>1136.1154300629451</v>
      </c>
      <c r="C138" s="48" t="s">
        <v>18</v>
      </c>
      <c r="D138" s="49"/>
      <c r="E138" s="49"/>
      <c r="F138" s="49"/>
      <c r="G138" s="49"/>
      <c r="H138" s="49"/>
      <c r="I138" s="50"/>
    </row>
    <row r="139" spans="1:16" ht="18" x14ac:dyDescent="0.35">
      <c r="A139" s="68" t="s">
        <v>14</v>
      </c>
      <c r="B139" s="74">
        <f>+B131/B138</f>
        <v>0.99306473704029941</v>
      </c>
      <c r="C139" s="48"/>
      <c r="D139" s="49"/>
      <c r="E139" s="49"/>
      <c r="F139" s="49"/>
      <c r="G139" s="49"/>
      <c r="H139" s="49"/>
      <c r="I139" s="50"/>
    </row>
    <row r="140" spans="1:16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16" ht="18.75" x14ac:dyDescent="0.3">
      <c r="A141" s="94"/>
      <c r="B141" s="49"/>
      <c r="C141" s="49"/>
      <c r="D141" s="49"/>
      <c r="E141" s="49"/>
      <c r="F141" s="49"/>
      <c r="G141" s="49"/>
      <c r="H141" s="49"/>
      <c r="I141" s="50"/>
    </row>
    <row r="142" spans="1:16" ht="18.75" x14ac:dyDescent="0.3">
      <c r="A142" s="94"/>
      <c r="B142" s="49"/>
      <c r="C142" s="49"/>
      <c r="D142" s="49"/>
      <c r="E142" s="49"/>
      <c r="F142" s="49"/>
      <c r="G142" s="49"/>
      <c r="H142" s="49"/>
      <c r="I142" s="50"/>
    </row>
    <row r="143" spans="1:16" x14ac:dyDescent="0.25">
      <c r="A143" s="45"/>
      <c r="B143" s="49"/>
      <c r="C143" s="49"/>
      <c r="D143" s="49"/>
      <c r="E143" s="49"/>
      <c r="F143" s="49"/>
      <c r="G143" s="49"/>
      <c r="H143" s="49"/>
      <c r="I143" s="50"/>
    </row>
    <row r="144" spans="1:16" x14ac:dyDescent="0.25">
      <c r="A144" s="45"/>
      <c r="B144" s="80"/>
      <c r="C144" s="49"/>
      <c r="D144" s="80"/>
      <c r="E144" s="49"/>
      <c r="F144" s="49"/>
      <c r="G144" s="49"/>
      <c r="H144" s="49"/>
      <c r="I144" s="50"/>
    </row>
    <row r="145" spans="1:20" x14ac:dyDescent="0.25">
      <c r="A145" s="45"/>
      <c r="B145" s="80"/>
      <c r="C145" s="49"/>
      <c r="D145" s="80"/>
      <c r="E145" s="49"/>
      <c r="F145" s="49"/>
      <c r="G145" s="49"/>
      <c r="H145" s="49"/>
      <c r="I145" s="50"/>
    </row>
    <row r="146" spans="1:20" x14ac:dyDescent="0.25">
      <c r="A146" s="45"/>
      <c r="B146" s="49"/>
      <c r="C146" s="49"/>
      <c r="D146" s="80"/>
      <c r="E146" s="49"/>
      <c r="F146" s="80"/>
      <c r="G146" s="49"/>
      <c r="H146" s="49"/>
      <c r="I146" s="50"/>
    </row>
    <row r="147" spans="1:20" x14ac:dyDescent="0.25">
      <c r="A147" s="45"/>
      <c r="B147" s="49"/>
      <c r="C147" s="49"/>
      <c r="D147" s="80"/>
      <c r="E147" s="49"/>
      <c r="F147" s="80"/>
      <c r="G147" s="49"/>
      <c r="H147" s="49"/>
      <c r="I147" s="50"/>
    </row>
    <row r="148" spans="1:20" x14ac:dyDescent="0.25">
      <c r="A148" s="45"/>
      <c r="B148" s="80"/>
      <c r="C148" s="80"/>
      <c r="D148" s="80"/>
      <c r="E148" s="80"/>
      <c r="F148" s="80"/>
      <c r="G148" s="49"/>
      <c r="H148" s="49"/>
      <c r="I148" s="50"/>
    </row>
    <row r="149" spans="1:20" x14ac:dyDescent="0.25">
      <c r="A149" s="45"/>
      <c r="B149" s="80"/>
      <c r="C149" s="80"/>
      <c r="D149" s="80"/>
      <c r="E149" s="80"/>
      <c r="F149" s="80"/>
      <c r="G149" s="49"/>
      <c r="H149" s="49"/>
      <c r="I149" s="50"/>
    </row>
    <row r="150" spans="1:20" x14ac:dyDescent="0.25">
      <c r="A150" s="45"/>
      <c r="B150" s="80"/>
      <c r="C150" s="80"/>
      <c r="D150" s="80"/>
      <c r="E150" s="80"/>
      <c r="F150" s="49"/>
      <c r="G150" s="49"/>
      <c r="H150" s="49"/>
      <c r="I150" s="50"/>
    </row>
    <row r="151" spans="1:20" x14ac:dyDescent="0.25">
      <c r="A151" s="45"/>
      <c r="B151" s="49"/>
      <c r="C151" s="49"/>
      <c r="D151" s="49"/>
      <c r="E151" s="49"/>
      <c r="F151" s="49"/>
      <c r="G151" s="49"/>
      <c r="H151" s="49"/>
      <c r="I151" s="50"/>
    </row>
    <row r="152" spans="1:20" x14ac:dyDescent="0.25">
      <c r="A152" s="45"/>
      <c r="B152" s="49"/>
      <c r="C152" s="49"/>
      <c r="D152" s="49"/>
      <c r="E152" s="49"/>
      <c r="F152" s="49"/>
      <c r="G152" s="49"/>
      <c r="H152" s="49"/>
      <c r="I152" s="50"/>
    </row>
    <row r="153" spans="1:20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20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20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20" x14ac:dyDescent="0.25">
      <c r="A156" s="68" t="s">
        <v>1</v>
      </c>
      <c r="B156" s="53">
        <f>+C20-C14-C15-L21-L21/2</f>
        <v>30.094999999999999</v>
      </c>
      <c r="C156" s="48" t="s">
        <v>0</v>
      </c>
      <c r="D156" s="49"/>
      <c r="E156" s="49"/>
      <c r="F156" s="49"/>
      <c r="G156" s="49"/>
      <c r="H156" s="49"/>
      <c r="I156" s="50"/>
      <c r="N156" s="4" t="s">
        <v>296</v>
      </c>
      <c r="Q156" s="4">
        <f>+C18/12+0.2887*C17</f>
        <v>2.6161000000000003</v>
      </c>
      <c r="R156" s="45" t="s">
        <v>1</v>
      </c>
      <c r="S156" s="49">
        <f>+B156</f>
        <v>30.094999999999999</v>
      </c>
      <c r="T156" s="49" t="s">
        <v>0</v>
      </c>
    </row>
    <row r="157" spans="1:20" x14ac:dyDescent="0.25">
      <c r="A157" s="68" t="s">
        <v>64</v>
      </c>
      <c r="B157" s="55">
        <f>+C17*12*0.577-C42/2+C11</f>
        <v>14.271999999999998</v>
      </c>
      <c r="C157" s="48" t="s">
        <v>0</v>
      </c>
      <c r="D157" s="80"/>
      <c r="E157" s="49"/>
      <c r="F157" s="49"/>
      <c r="G157" s="49"/>
      <c r="H157" s="49"/>
      <c r="I157" s="50"/>
      <c r="L157" s="4" t="s">
        <v>270</v>
      </c>
      <c r="M157" s="4">
        <f>+C21</f>
        <v>6.5</v>
      </c>
      <c r="N157" s="4" t="s">
        <v>298</v>
      </c>
      <c r="Q157" s="4">
        <f>+(C21-F19)/(C22-F20)</f>
        <v>1.1546823179156551</v>
      </c>
      <c r="R157" s="45" t="s">
        <v>64</v>
      </c>
      <c r="S157" s="80">
        <f>+C17*12*0.2887-C42/2+C11</f>
        <v>3.8932000000000002</v>
      </c>
      <c r="T157" s="49" t="s">
        <v>0</v>
      </c>
    </row>
    <row r="158" spans="1:20" x14ac:dyDescent="0.25">
      <c r="A158" s="68" t="s">
        <v>65</v>
      </c>
      <c r="B158" s="58">
        <f>MAX(B157/B156,0)</f>
        <v>0.47423159993354375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  <c r="L158" s="4" t="s">
        <v>269</v>
      </c>
      <c r="M158" s="4">
        <f>+Q158-(C42/12/2)*Q157</f>
        <v>5.1271500804668317</v>
      </c>
      <c r="N158" s="4" t="s">
        <v>297</v>
      </c>
      <c r="Q158" s="4">
        <f>+M115-(Q156-F20)*Q157</f>
        <v>6.0412735821500583</v>
      </c>
      <c r="R158" s="45" t="s">
        <v>65</v>
      </c>
      <c r="S158" s="80">
        <f>MAX(S157/S156,0)</f>
        <v>0.12936368167469681</v>
      </c>
      <c r="T158" s="49"/>
    </row>
    <row r="159" spans="1:20" ht="18" x14ac:dyDescent="0.35">
      <c r="A159" s="68" t="s">
        <v>58</v>
      </c>
      <c r="B159" s="79">
        <f>1*1.6*C13</f>
        <v>384</v>
      </c>
      <c r="C159" s="48" t="s">
        <v>18</v>
      </c>
      <c r="D159" s="80"/>
      <c r="E159" s="49"/>
      <c r="F159" s="80"/>
      <c r="G159" s="49"/>
      <c r="H159" s="49"/>
      <c r="I159" s="50"/>
      <c r="L159" s="4" t="s">
        <v>300</v>
      </c>
      <c r="M159" s="4">
        <f>+Q158-(C42/12/2+B157/12)*Q157</f>
        <v>3.7538479103591458</v>
      </c>
      <c r="R159" s="45" t="s">
        <v>58</v>
      </c>
      <c r="S159" s="49">
        <f>+B159*2</f>
        <v>768</v>
      </c>
      <c r="T159" s="49" t="s">
        <v>8</v>
      </c>
    </row>
    <row r="160" spans="1:20" ht="18" x14ac:dyDescent="0.35">
      <c r="A160" s="68" t="s">
        <v>26</v>
      </c>
      <c r="B160" s="79">
        <f>1.6*C13*(1*B157)</f>
        <v>5480.4479999999994</v>
      </c>
      <c r="C160" s="48" t="s">
        <v>27</v>
      </c>
      <c r="D160" s="80"/>
      <c r="E160" s="49"/>
      <c r="F160" s="80"/>
      <c r="G160" s="49"/>
      <c r="H160" s="49"/>
      <c r="I160" s="50"/>
      <c r="R160" s="45" t="s">
        <v>26</v>
      </c>
      <c r="S160" s="49">
        <f>+B160*2*S157/B157</f>
        <v>2989.9776000000002</v>
      </c>
      <c r="T160" s="49" t="s">
        <v>27</v>
      </c>
    </row>
    <row r="161" spans="1:32" ht="18" x14ac:dyDescent="0.35">
      <c r="A161" s="68" t="s">
        <v>66</v>
      </c>
      <c r="B161" s="58">
        <f>+B159*B156/B160</f>
        <v>2.1086743273542603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632.45553203367581</v>
      </c>
      <c r="P161" s="4" t="s">
        <v>5</v>
      </c>
      <c r="R161" s="45" t="s">
        <v>66</v>
      </c>
      <c r="S161" s="80">
        <f>+S159*S156/S160</f>
        <v>7.7301448679749303</v>
      </c>
      <c r="T161" s="80"/>
    </row>
    <row r="162" spans="1:32" ht="18" x14ac:dyDescent="0.35">
      <c r="A162" s="68" t="s">
        <v>447</v>
      </c>
      <c r="B162" s="58">
        <f>1/B161</f>
        <v>0.47423159993354375</v>
      </c>
      <c r="C162" s="48"/>
      <c r="D162" s="80"/>
      <c r="E162" s="80"/>
      <c r="F162" s="80"/>
      <c r="G162" s="49"/>
      <c r="H162" s="49"/>
      <c r="I162" s="50"/>
      <c r="R162" s="45" t="s">
        <v>67</v>
      </c>
      <c r="S162" s="80">
        <f>1/S161</f>
        <v>0.12936368167469681</v>
      </c>
      <c r="T162" s="8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  <c r="R163" s="45" t="s">
        <v>6</v>
      </c>
      <c r="S163" s="80">
        <f>+MIN(1/S158*(3.5-2.5*S162)*(1.9+0.1*S161),10)</f>
        <v>10</v>
      </c>
      <c r="T163" s="80"/>
    </row>
    <row r="164" spans="1:32" ht="18" x14ac:dyDescent="0.35">
      <c r="A164" s="68" t="s">
        <v>12</v>
      </c>
      <c r="B164" s="79">
        <f>0.85*B163*(C9*1000)^0.5/1000*M158*12*B156</f>
        <v>995.40666708376273</v>
      </c>
      <c r="C164" s="48" t="s">
        <v>18</v>
      </c>
      <c r="D164" s="49"/>
      <c r="E164" s="49"/>
      <c r="F164" s="49"/>
      <c r="G164" s="49"/>
      <c r="H164" s="49"/>
      <c r="I164" s="50"/>
      <c r="R164" s="45" t="s">
        <v>12</v>
      </c>
      <c r="S164" s="49">
        <f>0.85*S163*(C9*1000)^0.5/1000*M157*12*S156</f>
        <v>1261.9375743834955</v>
      </c>
      <c r="T164" s="49" t="s">
        <v>8</v>
      </c>
    </row>
    <row r="165" spans="1:32" ht="18" x14ac:dyDescent="0.35">
      <c r="A165" s="68" t="s">
        <v>14</v>
      </c>
      <c r="B165" s="74">
        <f>+B159/B164</f>
        <v>0.38577197912989936</v>
      </c>
      <c r="C165" s="49" t="s">
        <v>354</v>
      </c>
      <c r="D165" s="88">
        <f>+S165</f>
        <v>0.60858794887314227</v>
      </c>
      <c r="E165" s="49" t="s">
        <v>355</v>
      </c>
      <c r="F165" s="100">
        <f>MAX(B165,D165)</f>
        <v>0.60858794887314227</v>
      </c>
      <c r="G165" s="95" t="s">
        <v>356</v>
      </c>
      <c r="H165" s="49"/>
      <c r="I165" s="50"/>
      <c r="R165" s="45" t="s">
        <v>14</v>
      </c>
      <c r="S165" s="49">
        <f>+S159/S164</f>
        <v>0.60858794887314227</v>
      </c>
      <c r="T165" s="49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31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+C22*C21*C20/12/27-2*U22*C20/12/27</f>
        <v>3.9164074415772099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15.5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43</v>
      </c>
      <c r="U170" s="4" t="s">
        <v>0</v>
      </c>
      <c r="V170" s="64"/>
      <c r="W170" s="64"/>
    </row>
    <row r="171" spans="1:32" ht="17.25" x14ac:dyDescent="0.25">
      <c r="A171" s="45" t="s">
        <v>294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4187.6195000000007</v>
      </c>
      <c r="U171" s="4" t="s">
        <v>35</v>
      </c>
    </row>
    <row r="172" spans="1:32" ht="18.75" x14ac:dyDescent="0.35">
      <c r="A172" s="45"/>
      <c r="B172" s="53">
        <f>+C60*3</f>
        <v>12</v>
      </c>
      <c r="C172" s="48" t="s">
        <v>71</v>
      </c>
      <c r="D172" s="83" t="str">
        <f>"#"&amp;+C23</f>
        <v>#10</v>
      </c>
      <c r="E172" s="49" t="s">
        <v>72</v>
      </c>
      <c r="F172" s="49" t="s">
        <v>73</v>
      </c>
      <c r="G172" s="57">
        <f>+C21-0.5</f>
        <v>6</v>
      </c>
      <c r="H172" s="48" t="s">
        <v>74</v>
      </c>
      <c r="I172" s="50"/>
      <c r="Q172" s="4" t="s">
        <v>3</v>
      </c>
      <c r="R172" s="4">
        <f>4*(C9*1000)^0.5</f>
        <v>252.98221281347034</v>
      </c>
      <c r="S172" s="4" t="s">
        <v>5</v>
      </c>
      <c r="AB172" s="4" t="s">
        <v>86</v>
      </c>
      <c r="AE172" s="4">
        <f>+R175/T171*1000</f>
        <v>89.724189317827879</v>
      </c>
      <c r="AF172" s="4" t="s">
        <v>5</v>
      </c>
    </row>
    <row r="173" spans="1:32" ht="18.75" x14ac:dyDescent="0.35">
      <c r="A173" s="45"/>
      <c r="B173" s="55">
        <f>+B172*2</f>
        <v>24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1.5565437500000003</v>
      </c>
      <c r="H173" s="48" t="s">
        <v>74</v>
      </c>
      <c r="I173" s="50"/>
      <c r="Q173" s="4" t="s">
        <v>7</v>
      </c>
      <c r="R173" s="4">
        <f>+R172*T171/1000</f>
        <v>1059.3932475308384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471.37320196987253</v>
      </c>
      <c r="C174" s="48" t="s">
        <v>78</v>
      </c>
      <c r="D174" s="49"/>
      <c r="E174" s="49"/>
      <c r="F174" s="49"/>
      <c r="G174" s="49"/>
      <c r="H174" s="49"/>
      <c r="I174" s="50"/>
      <c r="Q174" s="4" t="s">
        <v>12</v>
      </c>
      <c r="R174" s="4">
        <f>+R173*0.85</f>
        <v>900.48426040121262</v>
      </c>
      <c r="S174" s="4" t="s">
        <v>8</v>
      </c>
    </row>
    <row r="175" spans="1:32" ht="18" x14ac:dyDescent="0.35">
      <c r="A175" s="45"/>
      <c r="B175" s="49"/>
      <c r="C175" s="49"/>
      <c r="D175" s="49"/>
      <c r="E175" s="49"/>
      <c r="F175" s="49"/>
      <c r="G175" s="49"/>
      <c r="H175" s="49"/>
      <c r="I175" s="50"/>
      <c r="Q175" s="4" t="s">
        <v>58</v>
      </c>
      <c r="R175" s="4">
        <f>1.6*C13-1.6*(3.1415*(T170/12)^2/4*C20/12*0.15)</f>
        <v>375.73076480902779</v>
      </c>
      <c r="S175" s="4" t="s">
        <v>8</v>
      </c>
      <c r="T175" s="4" t="s">
        <v>350</v>
      </c>
    </row>
    <row r="176" spans="1:32" ht="18" x14ac:dyDescent="0.35">
      <c r="A176" s="45"/>
      <c r="B176" s="49"/>
      <c r="C176" s="49"/>
      <c r="D176" s="49"/>
      <c r="E176" s="49"/>
      <c r="F176" s="49"/>
      <c r="G176" s="49"/>
      <c r="H176" s="49"/>
      <c r="I176" s="50"/>
      <c r="Q176" s="4" t="s">
        <v>14</v>
      </c>
      <c r="R176" s="4">
        <f>+R175/R174</f>
        <v>0.41725411684777275</v>
      </c>
    </row>
    <row r="177" spans="1:32" x14ac:dyDescent="0.25">
      <c r="A177" s="45"/>
      <c r="B177" s="49"/>
      <c r="C177" s="49"/>
      <c r="D177" s="49"/>
      <c r="E177" s="49"/>
      <c r="F177" s="49"/>
      <c r="G177" s="49"/>
      <c r="H177" s="49"/>
      <c r="I177" s="50"/>
    </row>
    <row r="178" spans="1:32" ht="18.75" x14ac:dyDescent="0.3">
      <c r="A178" s="45"/>
      <c r="B178" s="49"/>
      <c r="C178" s="49"/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31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471.37320196987253</v>
      </c>
      <c r="D180" s="48" t="s">
        <v>78</v>
      </c>
      <c r="E180" s="49" t="s">
        <v>79</v>
      </c>
      <c r="F180" s="88">
        <f>+C180/2000</f>
        <v>0.23568660098493627</v>
      </c>
      <c r="G180" s="48" t="s">
        <v>19</v>
      </c>
      <c r="H180" s="49"/>
      <c r="I180" s="50"/>
      <c r="Q180" s="4" t="s">
        <v>54</v>
      </c>
      <c r="T180" s="4">
        <f>+T179/2</f>
        <v>15.5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135.08450000000002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6419.6195000000007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252.98221281347034</v>
      </c>
      <c r="S184" s="4" t="s">
        <v>5</v>
      </c>
      <c r="AB184" s="4" t="s">
        <v>86</v>
      </c>
      <c r="AE184" s="4">
        <f>+R187/T183*1000</f>
        <v>116.97200508675439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1624.0495465305044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1380.4421145509286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750.91576480902779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0.5439675861043316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31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15.5</v>
      </c>
      <c r="U192" s="4" t="s">
        <v>0</v>
      </c>
      <c r="W192" s="64"/>
    </row>
    <row r="193" spans="1:56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75.771125000000012</v>
      </c>
      <c r="U193" s="4" t="s">
        <v>0</v>
      </c>
      <c r="V193" s="64"/>
      <c r="W193" s="64"/>
    </row>
    <row r="194" spans="1:56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2348.9048750000002</v>
      </c>
      <c r="U194" s="4" t="s">
        <v>35</v>
      </c>
    </row>
    <row r="195" spans="1:56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252.98221281347034</v>
      </c>
      <c r="S195" s="4" t="s">
        <v>5</v>
      </c>
      <c r="AB195" s="4" t="s">
        <v>86</v>
      </c>
      <c r="AE195" s="4">
        <f>+R198/T194*1000</f>
        <v>159.34206695744695</v>
      </c>
      <c r="AF195" s="4" t="s">
        <v>5</v>
      </c>
    </row>
    <row r="196" spans="1:56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594.23115296584797</v>
      </c>
      <c r="S196" s="4" t="s">
        <v>8</v>
      </c>
      <c r="T196" s="4" t="s">
        <v>87</v>
      </c>
    </row>
    <row r="197" spans="1:56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505.09648002097077</v>
      </c>
      <c r="S197" s="4" t="s">
        <v>8</v>
      </c>
    </row>
    <row r="198" spans="1:56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374.27935786892363</v>
      </c>
      <c r="S198" s="4" t="s">
        <v>8</v>
      </c>
      <c r="T198" s="4" t="s">
        <v>350</v>
      </c>
    </row>
    <row r="199" spans="1:56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0.74100567450674804</v>
      </c>
      <c r="T199" s="4" t="s">
        <v>146</v>
      </c>
      <c r="V199" s="4">
        <f>+(C18*C18+C18*T170+3.1415*T170^2/4/4)/144</f>
        <v>11.854441623263888</v>
      </c>
      <c r="W199" s="4" t="s">
        <v>147</v>
      </c>
    </row>
    <row r="200" spans="1:56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6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6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31</v>
      </c>
      <c r="U202" s="4" t="s">
        <v>0</v>
      </c>
      <c r="V202" s="4" t="s">
        <v>53</v>
      </c>
      <c r="W202" s="64"/>
    </row>
    <row r="203" spans="1:56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6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97.3964</v>
      </c>
      <c r="U204" s="4" t="s">
        <v>0</v>
      </c>
      <c r="V204" s="64"/>
      <c r="W204" s="64"/>
    </row>
    <row r="205" spans="1:56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3019.2883999999999</v>
      </c>
      <c r="U205" s="4" t="s">
        <v>35</v>
      </c>
    </row>
    <row r="206" spans="1:56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126.49110640673517</v>
      </c>
      <c r="S206" s="4" t="s">
        <v>5</v>
      </c>
      <c r="AB206" s="4" t="s">
        <v>86</v>
      </c>
      <c r="AE206" s="4">
        <f>+R209/T205*1000</f>
        <v>122.70964257757615</v>
      </c>
      <c r="AF206" s="4" t="s">
        <v>5</v>
      </c>
    </row>
    <row r="207" spans="1:56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381.91313027702114</v>
      </c>
      <c r="S207" s="4" t="s">
        <v>8</v>
      </c>
      <c r="T207" s="4" t="s">
        <v>93</v>
      </c>
    </row>
    <row r="208" spans="1:56" ht="18" x14ac:dyDescent="0.35"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324.62616073546798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</row>
    <row r="209" spans="1:56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 t="s">
        <v>58</v>
      </c>
      <c r="R209" s="49">
        <f>1.6*C13-1.6*(T204*0.7071/12*T204*0.7071/2/12)*C20/12*0.15</f>
        <v>370.49580040262174</v>
      </c>
      <c r="S209" s="49" t="s">
        <v>8</v>
      </c>
      <c r="T209" s="49" t="s">
        <v>350</v>
      </c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</row>
    <row r="210" spans="1:56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 t="s">
        <v>14</v>
      </c>
      <c r="R210" s="49">
        <f>+R209/R208</f>
        <v>1.1412998865009283</v>
      </c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</row>
    <row r="211" spans="1:56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</row>
    <row r="212" spans="1:56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</row>
    <row r="213" spans="1:56" x14ac:dyDescent="0.25">
      <c r="A213" s="49"/>
      <c r="B213" s="49"/>
      <c r="C213" s="49"/>
      <c r="D213" s="49"/>
      <c r="E213" s="49"/>
      <c r="F213" s="49"/>
      <c r="G213" s="49"/>
      <c r="H213" s="49"/>
      <c r="I213" s="49"/>
    </row>
    <row r="214" spans="1:56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6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6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6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6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disablePrompts="1"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138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ht="14.45" x14ac:dyDescent="0.35">
      <c r="A4" s="30" t="s">
        <v>95</v>
      </c>
      <c r="B4" s="101"/>
      <c r="C4" s="102"/>
      <c r="D4" s="102"/>
      <c r="E4" s="102"/>
      <c r="F4" s="33" t="s">
        <v>96</v>
      </c>
      <c r="G4" s="103"/>
      <c r="H4" s="104"/>
      <c r="I4" s="105"/>
      <c r="L4" s="4">
        <v>6</v>
      </c>
      <c r="O4" s="4">
        <v>6</v>
      </c>
      <c r="P4" s="4">
        <v>80</v>
      </c>
      <c r="Q4" s="4">
        <v>21</v>
      </c>
    </row>
    <row r="5" spans="1:17" ht="14.45" x14ac:dyDescent="0.35">
      <c r="A5" s="30" t="s">
        <v>97</v>
      </c>
      <c r="B5" s="106"/>
      <c r="C5" s="104"/>
      <c r="D5" s="104"/>
      <c r="E5" s="105"/>
      <c r="F5" s="38" t="s">
        <v>98</v>
      </c>
      <c r="G5" s="107"/>
      <c r="H5" s="40" t="s">
        <v>99</v>
      </c>
      <c r="I5" s="108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4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120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240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12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35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16.590060000000001</v>
      </c>
    </row>
    <row r="20" spans="1:17" ht="18" x14ac:dyDescent="0.35">
      <c r="A20" s="45"/>
      <c r="B20" s="46" t="s">
        <v>425</v>
      </c>
      <c r="C20" s="56">
        <v>39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16.590060000000001</v>
      </c>
    </row>
    <row r="21" spans="1:17" x14ac:dyDescent="0.25">
      <c r="A21" s="45"/>
      <c r="B21" s="46" t="s">
        <v>426</v>
      </c>
      <c r="C21" s="53">
        <f>2*C18/12+C17</f>
        <v>6.5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1.1279999999999999</v>
      </c>
      <c r="M21" s="4" t="s">
        <v>20</v>
      </c>
      <c r="N21" s="4" t="s">
        <v>37</v>
      </c>
      <c r="P21" s="4">
        <f>+IF(C24&lt;9,(C24/8),IF(C24=9,1.128,IF(C24=10,1.27,IF(C24=11,1.41,IF(C24=14,1.693,0)))))</f>
        <v>1.1279999999999999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2*C18/12+C17</f>
        <v>6.5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0.99929858399999982</v>
      </c>
      <c r="M22" s="4" t="s">
        <v>35</v>
      </c>
      <c r="N22" s="4" t="s">
        <v>38</v>
      </c>
      <c r="P22" s="4">
        <f>3.1415*P21^2/4</f>
        <v>0.99929858399999982</v>
      </c>
      <c r="Q22" s="4" t="s">
        <v>35</v>
      </c>
    </row>
    <row r="23" spans="1:17" x14ac:dyDescent="0.25">
      <c r="A23" s="45"/>
      <c r="B23" s="46" t="s">
        <v>428</v>
      </c>
      <c r="C23" s="47">
        <v>9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9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28.308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29.436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29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13.540749682261449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12</v>
      </c>
    </row>
    <row r="30" spans="1:17" x14ac:dyDescent="0.25">
      <c r="A30" s="45" t="s">
        <v>123</v>
      </c>
      <c r="B30" s="49"/>
      <c r="C30" s="49"/>
      <c r="D30" s="49"/>
      <c r="E30" s="62" t="str">
        <f>+IF(C63&gt;C61,"NG; select smaller bar size","OK")</f>
        <v>OK</v>
      </c>
      <c r="F30" s="49"/>
      <c r="G30" s="49"/>
      <c r="H30" s="49"/>
      <c r="I30" s="50"/>
    </row>
    <row r="31" spans="1:17" ht="18.75" x14ac:dyDescent="0.3">
      <c r="A31" s="45" t="s">
        <v>124</v>
      </c>
      <c r="B31" s="49"/>
      <c r="C31" s="49"/>
      <c r="D31" s="49"/>
      <c r="E31" s="62" t="str">
        <f>+IF(C81&gt;C79,"NG; select smaller bar size","OK")</f>
        <v>OK</v>
      </c>
      <c r="F31" s="49"/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29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14.5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41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applicable",IF(B139&lt;1,"OK","NG"))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3735.2435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NG</v>
      </c>
      <c r="I36" s="50"/>
      <c r="J36" s="4" t="s">
        <v>3</v>
      </c>
      <c r="K36" s="4">
        <f>4*(C9*1000)^0.5</f>
        <v>252.98221281347034</v>
      </c>
      <c r="L36" s="4" t="s">
        <v>5</v>
      </c>
      <c r="U36" s="4" t="s">
        <v>86</v>
      </c>
      <c r="X36" s="4">
        <f>+K39/M35*1000</f>
        <v>100.890031235023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944.95016602713179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803.20764112306199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376.84883338541664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1.6*4*C13-1.6*C21*C22*C20/12*0.15</f>
        <v>1503.0450000000001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0.46917984104147542</v>
      </c>
    </row>
    <row r="41" spans="1:25" x14ac:dyDescent="0.25">
      <c r="A41" s="45"/>
      <c r="B41" s="46" t="s">
        <v>433</v>
      </c>
      <c r="C41" s="58">
        <f>+(C40/4)^0.5</f>
        <v>19.384562156520328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20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1.6*C13*(2*(0.5*C17*12+C11-C42/4))-1.6*(C22/2-C42/12/4)*C21*C20/12*0.15*(C22/2-C42/12/4)*12/2</f>
        <v>12043.795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1852.8915384615384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28.308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1.262568776833664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8.2066970494188158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10.942262732558421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6.9823849683156256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7.36008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7.36008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5.4756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8.2066970494188158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109"/>
      <c r="B57" s="76" t="s">
        <v>45</v>
      </c>
      <c r="C57" s="57">
        <f>+C21/C22</f>
        <v>1</v>
      </c>
      <c r="D57" s="48"/>
      <c r="E57" s="49"/>
      <c r="F57" s="49"/>
      <c r="G57" s="49"/>
      <c r="H57" s="49"/>
      <c r="I57" s="50"/>
    </row>
    <row r="58" spans="1:9" ht="18" x14ac:dyDescent="0.35">
      <c r="A58" s="109"/>
      <c r="B58" s="76" t="s">
        <v>47</v>
      </c>
      <c r="C58" s="55">
        <f>2/(C57+1)</f>
        <v>1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8.2066970494188158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8.2066970494188158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18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14.981606642813713</v>
      </c>
      <c r="D63" s="48" t="s">
        <v>0</v>
      </c>
      <c r="E63" s="49" t="str">
        <f>+IF(C63&gt;C61,"NG; insufficient length available to develop hook","OK; sufficient length available to develop hook")</f>
        <v>OK; 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8.2124573984373992</v>
      </c>
      <c r="D64" s="48"/>
      <c r="E64" s="49"/>
      <c r="F64" s="49"/>
      <c r="G64" s="49"/>
      <c r="H64" s="49"/>
      <c r="I64" s="50"/>
    </row>
    <row r="65" spans="1:9" x14ac:dyDescent="0.25">
      <c r="A65" s="45"/>
      <c r="B65" s="46" t="s">
        <v>442</v>
      </c>
      <c r="C65" s="56">
        <v>11</v>
      </c>
      <c r="D65" s="48"/>
      <c r="E65" s="49"/>
      <c r="F65" s="49"/>
      <c r="G65" s="49"/>
      <c r="H65" s="49"/>
      <c r="I65" s="50"/>
    </row>
    <row r="66" spans="1:9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9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9" ht="18" x14ac:dyDescent="0.35">
      <c r="A68" s="45"/>
      <c r="B68" s="46" t="s">
        <v>26</v>
      </c>
      <c r="C68" s="69">
        <f>1.6*C13*(2*(0.5*C17*12+C11-C42/4))-1.6*(C21/2-C42/12/4)*C22*C20/12*0.15*(C21/2-C42/12/4)*12/2</f>
        <v>12043.795</v>
      </c>
      <c r="D68" s="48" t="s">
        <v>27</v>
      </c>
      <c r="E68" s="49" t="s">
        <v>118</v>
      </c>
      <c r="F68" s="49"/>
      <c r="G68" s="49"/>
      <c r="H68" s="49"/>
      <c r="I68" s="50"/>
    </row>
    <row r="69" spans="1:9" ht="18" x14ac:dyDescent="0.35">
      <c r="A69" s="45"/>
      <c r="B69" s="46" t="s">
        <v>26</v>
      </c>
      <c r="C69" s="79">
        <f>+C68/C22</f>
        <v>1852.8915384615384</v>
      </c>
      <c r="D69" s="48" t="s">
        <v>28</v>
      </c>
      <c r="E69" s="49" t="s">
        <v>29</v>
      </c>
      <c r="F69" s="49"/>
      <c r="G69" s="49"/>
      <c r="H69" s="49"/>
      <c r="I69" s="50"/>
    </row>
    <row r="70" spans="1:9" x14ac:dyDescent="0.25">
      <c r="A70" s="45"/>
      <c r="B70" s="46" t="s">
        <v>1</v>
      </c>
      <c r="C70" s="55">
        <f>+C20-C14-C15-P21/2</f>
        <v>29.436</v>
      </c>
      <c r="D70" s="48" t="s">
        <v>0</v>
      </c>
      <c r="E70" s="49"/>
      <c r="F70" s="49"/>
      <c r="G70" s="49"/>
      <c r="H70" s="49"/>
      <c r="I70" s="50"/>
    </row>
    <row r="71" spans="1:9" ht="18" x14ac:dyDescent="0.35">
      <c r="A71" s="45"/>
      <c r="B71" s="46" t="s">
        <v>40</v>
      </c>
      <c r="C71" s="58">
        <f>IF(C9=3,0.51*C70-(0.26*C70^2-0.0189*C69)^0.5,0.68*C70-(0.462*C70^2-0.0252*C69)^0.5)</f>
        <v>1.2116930141612805</v>
      </c>
      <c r="D71" s="48" t="s">
        <v>435</v>
      </c>
      <c r="E71" s="49"/>
      <c r="F71" s="49"/>
      <c r="G71" s="49"/>
      <c r="H71" s="49"/>
      <c r="I71" s="50"/>
    </row>
    <row r="72" spans="1:9" ht="18" x14ac:dyDescent="0.35">
      <c r="A72" s="45"/>
      <c r="B72" s="46" t="s">
        <v>39</v>
      </c>
      <c r="C72" s="58">
        <f>+C71*C22</f>
        <v>7.8760045920483233</v>
      </c>
      <c r="D72" s="48" t="s">
        <v>436</v>
      </c>
      <c r="E72" s="49"/>
      <c r="F72" s="49"/>
      <c r="G72" s="49"/>
      <c r="H72" s="49"/>
      <c r="I72" s="50"/>
    </row>
    <row r="73" spans="1:9" ht="18" x14ac:dyDescent="0.35">
      <c r="A73" s="45"/>
      <c r="B73" s="46" t="s">
        <v>43</v>
      </c>
      <c r="C73" s="58">
        <f>+C72*4/3</f>
        <v>10.50133945606443</v>
      </c>
      <c r="D73" s="48" t="s">
        <v>436</v>
      </c>
      <c r="E73" s="49"/>
      <c r="F73" s="49"/>
      <c r="G73" s="49"/>
      <c r="H73" s="49"/>
      <c r="I73" s="50"/>
    </row>
    <row r="74" spans="1:9" ht="18.75" x14ac:dyDescent="0.35">
      <c r="A74" s="45"/>
      <c r="B74" s="46" t="s">
        <v>437</v>
      </c>
      <c r="C74" s="58">
        <f>3*(C9*1000)^0.5*C22*12*C70/C10/1000</f>
        <v>7.2606148059678812</v>
      </c>
      <c r="D74" s="48" t="s">
        <v>436</v>
      </c>
      <c r="E74" s="49"/>
      <c r="F74" s="49"/>
      <c r="G74" s="49"/>
      <c r="H74" s="49"/>
      <c r="I74" s="50"/>
    </row>
    <row r="75" spans="1:9" ht="18" x14ac:dyDescent="0.35">
      <c r="A75" s="45"/>
      <c r="B75" s="46" t="s">
        <v>438</v>
      </c>
      <c r="C75" s="58">
        <f>200*C22*12*C70/C10/1000</f>
        <v>7.6533599999999993</v>
      </c>
      <c r="D75" s="48" t="s">
        <v>436</v>
      </c>
      <c r="E75" s="49"/>
      <c r="F75" s="49"/>
      <c r="G75" s="49"/>
      <c r="H75" s="49"/>
      <c r="I75" s="50"/>
    </row>
    <row r="76" spans="1:9" ht="18" x14ac:dyDescent="0.35">
      <c r="A76" s="45"/>
      <c r="B76" s="46" t="s">
        <v>44</v>
      </c>
      <c r="C76" s="58">
        <f>+MAX(C74:C75)</f>
        <v>7.6533599999999993</v>
      </c>
      <c r="D76" s="48" t="s">
        <v>436</v>
      </c>
      <c r="E76" s="49"/>
      <c r="F76" s="49"/>
      <c r="G76" s="49"/>
      <c r="H76" s="49"/>
      <c r="I76" s="50"/>
    </row>
    <row r="77" spans="1:9" ht="18" x14ac:dyDescent="0.35">
      <c r="A77" s="45"/>
      <c r="B77" s="46" t="s">
        <v>439</v>
      </c>
      <c r="C77" s="58">
        <f>+IF(C10=60,0.0018*C22*12*C20,0.002*C22*12*C20)</f>
        <v>5.4756</v>
      </c>
      <c r="D77" s="48" t="s">
        <v>436</v>
      </c>
      <c r="E77" s="49"/>
      <c r="F77" s="49"/>
      <c r="G77" s="49"/>
      <c r="H77" s="49"/>
      <c r="I77" s="50"/>
    </row>
    <row r="78" spans="1:9" ht="18" x14ac:dyDescent="0.35">
      <c r="A78" s="45"/>
      <c r="B78" s="46" t="s">
        <v>41</v>
      </c>
      <c r="C78" s="58">
        <f>+IF(C72&gt;C76,C72,IF(C73&gt;C76,C76,IF(C73&gt;C77,C73,C77)))</f>
        <v>7.8760045920483233</v>
      </c>
      <c r="D78" s="48" t="s">
        <v>436</v>
      </c>
      <c r="E78" s="49"/>
      <c r="F78" s="49"/>
      <c r="G78" s="49"/>
      <c r="H78" s="49"/>
      <c r="I78" s="50"/>
    </row>
    <row r="79" spans="1:9" x14ac:dyDescent="0.25">
      <c r="A79" s="45"/>
      <c r="B79" s="46" t="s">
        <v>440</v>
      </c>
      <c r="C79" s="55">
        <f>+C18-C11</f>
        <v>18</v>
      </c>
      <c r="D79" s="48" t="s">
        <v>0</v>
      </c>
      <c r="E79" s="49" t="s">
        <v>52</v>
      </c>
      <c r="F79" s="49"/>
      <c r="G79" s="49"/>
      <c r="H79" s="49"/>
      <c r="I79" s="50"/>
    </row>
    <row r="80" spans="1:9" ht="18" x14ac:dyDescent="0.35">
      <c r="A80" s="45"/>
      <c r="B80" s="46" t="s">
        <v>51</v>
      </c>
      <c r="C80" s="55">
        <v>1</v>
      </c>
      <c r="D80" s="48"/>
      <c r="E80" s="49" t="s">
        <v>50</v>
      </c>
      <c r="F80" s="49"/>
      <c r="G80" s="49"/>
      <c r="H80" s="49"/>
      <c r="I80" s="50"/>
    </row>
    <row r="81" spans="1:17" ht="18" x14ac:dyDescent="0.35">
      <c r="A81" s="45"/>
      <c r="B81" s="46" t="s">
        <v>48</v>
      </c>
      <c r="C81" s="58">
        <f>0.02*C62*C10*1000/(C9*1000)^0.5*P21*0.7</f>
        <v>14.981606642813713</v>
      </c>
      <c r="D81" s="48" t="s">
        <v>0</v>
      </c>
      <c r="E81" s="49" t="str">
        <f>+IF(C81&gt;C79,"NG; insufficient length available to develop hook","OK; sufficient length available to develop hook")</f>
        <v>OK; sufficient length available to develop hook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7.8815328252764987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11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29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24.5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14.5</v>
      </c>
      <c r="C87" s="48" t="s">
        <v>0</v>
      </c>
      <c r="D87" s="49"/>
      <c r="E87" s="49"/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+C17/2*12+C11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+IF(M86&gt;O88,0,4)</f>
        <v>0</v>
      </c>
      <c r="F88" s="49"/>
      <c r="G88" s="49"/>
      <c r="H88" s="49"/>
      <c r="I88" s="50"/>
      <c r="J88" s="4" t="s">
        <v>57</v>
      </c>
      <c r="K88" s="64"/>
      <c r="L88" s="64"/>
      <c r="M88" s="64"/>
      <c r="N88" s="64"/>
      <c r="O88" s="64">
        <f>+C17/2*12+C11</f>
        <v>21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252.98221281347034</v>
      </c>
      <c r="C89" s="48" t="s">
        <v>5</v>
      </c>
      <c r="D89" s="49"/>
      <c r="E89" s="49"/>
      <c r="F89" s="49"/>
      <c r="G89" s="49"/>
      <c r="H89" s="49"/>
      <c r="I89" s="50"/>
    </row>
    <row r="90" spans="1:17" ht="18" x14ac:dyDescent="0.35">
      <c r="A90" s="68" t="s">
        <v>11</v>
      </c>
      <c r="B90" s="55">
        <f>4*(B86+C42)</f>
        <v>196</v>
      </c>
      <c r="C90" s="48" t="s">
        <v>0</v>
      </c>
      <c r="D90" s="49"/>
      <c r="E90" s="49"/>
      <c r="F90" s="49"/>
      <c r="G90" s="49"/>
      <c r="H90" s="49"/>
      <c r="I90" s="50"/>
    </row>
    <row r="91" spans="1:17" ht="18.75" x14ac:dyDescent="0.35">
      <c r="A91" s="68" t="s">
        <v>7</v>
      </c>
      <c r="B91" s="79">
        <f>+B89*B90*B86/1000</f>
        <v>1437.9508976317654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252.98221281347034</v>
      </c>
      <c r="P91" s="4" t="s">
        <v>5</v>
      </c>
    </row>
    <row r="92" spans="1:17" ht="18" x14ac:dyDescent="0.35">
      <c r="A92" s="68" t="s">
        <v>12</v>
      </c>
      <c r="B92" s="79">
        <f>+B91*0.85</f>
        <v>1222.2582629870005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-19.949583333333344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-1.6321905064957225E-2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29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39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+IF(M98&gt;O99,0,2)</f>
        <v>0</v>
      </c>
      <c r="F99" s="49"/>
      <c r="G99" s="49"/>
      <c r="H99" s="49"/>
      <c r="I99" s="50"/>
      <c r="J99" s="4" t="s">
        <v>60</v>
      </c>
      <c r="K99" s="64"/>
      <c r="L99" s="64"/>
      <c r="M99" s="64"/>
      <c r="N99" s="64"/>
      <c r="O99" s="64">
        <f>0.5*C17*12+C11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126.49110640673517</v>
      </c>
      <c r="C100" s="48" t="s">
        <v>5</v>
      </c>
      <c r="D100" s="49"/>
      <c r="E100" s="49"/>
      <c r="F100" s="49"/>
      <c r="G100" s="49"/>
      <c r="H100" s="49"/>
      <c r="I100" s="50"/>
    </row>
    <row r="101" spans="1:17" x14ac:dyDescent="0.25">
      <c r="A101" s="68" t="s">
        <v>62</v>
      </c>
      <c r="B101" s="79">
        <f>+C22*12*B98</f>
        <v>2262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126.49110640673517</v>
      </c>
      <c r="P101" s="4" t="s">
        <v>5</v>
      </c>
    </row>
    <row r="102" spans="1:17" ht="18.75" x14ac:dyDescent="0.35">
      <c r="A102" s="68" t="s">
        <v>7</v>
      </c>
      <c r="B102" s="79">
        <f>+B100*B101/1000</f>
        <v>286.12288269203492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243.20445028822968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0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0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29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39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+IF(M109&gt;O110,0,2)</f>
        <v>0</v>
      </c>
      <c r="F110" s="49"/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0.5*C17*12+C11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126.49110640673517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+C21*12*B109</f>
        <v>2262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126.49110640673517</v>
      </c>
      <c r="P112" s="4" t="s">
        <v>5</v>
      </c>
    </row>
    <row r="113" spans="1:9" ht="18.75" x14ac:dyDescent="0.35">
      <c r="A113" s="68" t="s">
        <v>7</v>
      </c>
      <c r="B113" s="79">
        <f>+B111*B112/1000</f>
        <v>286.12288269203492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9" ht="18" x14ac:dyDescent="0.35">
      <c r="A114" s="68" t="s">
        <v>12</v>
      </c>
      <c r="B114" s="79">
        <f>+B113*0.85</f>
        <v>243.20445028822968</v>
      </c>
      <c r="C114" s="48" t="s">
        <v>18</v>
      </c>
      <c r="D114" s="49"/>
      <c r="E114" s="49"/>
      <c r="F114" s="49"/>
      <c r="G114" s="49"/>
      <c r="H114" s="49"/>
      <c r="I114" s="50"/>
    </row>
    <row r="115" spans="1:9" ht="18" x14ac:dyDescent="0.35">
      <c r="A115" s="68" t="s">
        <v>58</v>
      </c>
      <c r="B115" s="79">
        <f>+E110*C13*1.6-1.6*0.15*C21*C22*C20/12*((C22/2-M109/12)/C22)</f>
        <v>0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9" ht="18" x14ac:dyDescent="0.35">
      <c r="A116" s="68" t="s">
        <v>14</v>
      </c>
      <c r="B116" s="74">
        <f>+B115/B114</f>
        <v>0</v>
      </c>
      <c r="C116" s="48"/>
      <c r="D116" s="49"/>
      <c r="E116" s="49"/>
      <c r="F116" s="49"/>
      <c r="G116" s="49"/>
      <c r="H116" s="49"/>
      <c r="I116" s="50"/>
    </row>
    <row r="117" spans="1:9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9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9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9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9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9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9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9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9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9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9" x14ac:dyDescent="0.25">
      <c r="A127" s="68" t="s">
        <v>1</v>
      </c>
      <c r="B127" s="53">
        <f>+B86</f>
        <v>29</v>
      </c>
      <c r="C127" s="48" t="s">
        <v>0</v>
      </c>
      <c r="F127" s="49"/>
      <c r="G127" s="49"/>
      <c r="H127" s="49"/>
      <c r="I127" s="50"/>
    </row>
    <row r="128" spans="1:9" x14ac:dyDescent="0.25">
      <c r="A128" s="68" t="s">
        <v>54</v>
      </c>
      <c r="B128" s="54">
        <f>+B127/2</f>
        <v>14.5</v>
      </c>
      <c r="C128" s="48" t="s">
        <v>0</v>
      </c>
      <c r="F128" s="49"/>
      <c r="G128" s="49"/>
      <c r="H128" s="49"/>
      <c r="I128" s="50"/>
    </row>
    <row r="129" spans="1:16" x14ac:dyDescent="0.25">
      <c r="A129" s="68"/>
      <c r="B129" s="49"/>
      <c r="C129" s="48"/>
      <c r="D129" s="46" t="s">
        <v>453</v>
      </c>
      <c r="E129" s="83">
        <v>4</v>
      </c>
      <c r="G129" s="49"/>
      <c r="H129" s="49"/>
      <c r="I129" s="50"/>
    </row>
    <row r="130" spans="1:16" ht="18" x14ac:dyDescent="0.35">
      <c r="A130" s="68" t="s">
        <v>454</v>
      </c>
      <c r="B130" s="57">
        <f>+C17*12/2-C42/2+C11</f>
        <v>11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</row>
    <row r="131" spans="1:16" ht="18" x14ac:dyDescent="0.35">
      <c r="A131" s="68" t="s">
        <v>58</v>
      </c>
      <c r="B131" s="79">
        <f>+C13*E129*1.6-1.6*0.15*C21*C22*C20/12+1.6*0.15*(C42)/12*(C42)/12*C20/12</f>
        <v>1505.2116666666668</v>
      </c>
      <c r="C131" s="48" t="s">
        <v>18</v>
      </c>
      <c r="D131" s="49"/>
      <c r="E131" s="49"/>
      <c r="F131" s="49"/>
      <c r="G131" s="49"/>
      <c r="H131" s="49"/>
      <c r="I131" s="50"/>
    </row>
    <row r="132" spans="1:16" ht="18.75" x14ac:dyDescent="0.35">
      <c r="A132" s="68" t="s">
        <v>3</v>
      </c>
      <c r="B132" s="79">
        <f>4*(C9*1000)^0.5</f>
        <v>252.98221281347034</v>
      </c>
      <c r="C132" s="48" t="s">
        <v>5</v>
      </c>
      <c r="D132" s="49"/>
      <c r="E132" s="49"/>
      <c r="F132" s="49"/>
      <c r="G132" s="49"/>
      <c r="H132" s="49"/>
      <c r="I132" s="50"/>
    </row>
    <row r="133" spans="1:16" ht="18.75" x14ac:dyDescent="0.35">
      <c r="A133" s="68" t="s">
        <v>4</v>
      </c>
      <c r="B133" s="79">
        <f>+B132*8</f>
        <v>2023.8577025077627</v>
      </c>
      <c r="C133" s="48" t="s">
        <v>5</v>
      </c>
      <c r="D133" s="49"/>
      <c r="E133" s="49"/>
      <c r="F133" s="49"/>
      <c r="G133" s="49"/>
      <c r="H133" s="49"/>
      <c r="I133" s="50"/>
    </row>
    <row r="134" spans="1:16" ht="18" x14ac:dyDescent="0.35">
      <c r="A134" s="68" t="s">
        <v>11</v>
      </c>
      <c r="B134" s="58">
        <f>4*(B127+C42)</f>
        <v>196</v>
      </c>
      <c r="C134" s="48" t="s">
        <v>0</v>
      </c>
      <c r="D134" s="49"/>
      <c r="E134" s="49"/>
      <c r="F134" s="49"/>
      <c r="G134" s="49"/>
      <c r="H134" s="49"/>
      <c r="I134" s="50"/>
    </row>
    <row r="135" spans="1:16" ht="18" x14ac:dyDescent="0.35">
      <c r="A135" s="68" t="s">
        <v>2</v>
      </c>
      <c r="B135" s="58">
        <f>4*C42</f>
        <v>80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817.01755547259393</v>
      </c>
      <c r="P135" s="4" t="s">
        <v>5</v>
      </c>
    </row>
    <row r="136" spans="1:16" x14ac:dyDescent="0.25">
      <c r="A136" s="68" t="s">
        <v>6</v>
      </c>
      <c r="B136" s="58">
        <f>IF(2*B127/B130*(1+B127/C42)&lt;32,2*B127/B130*(1+B127/C42),32)</f>
        <v>12.918181818181818</v>
      </c>
      <c r="C136" s="48"/>
      <c r="D136" s="49" t="s">
        <v>9</v>
      </c>
      <c r="E136" s="49"/>
      <c r="F136" s="49"/>
      <c r="G136" s="49"/>
      <c r="H136" s="49"/>
      <c r="I136" s="50"/>
    </row>
    <row r="137" spans="1:16" ht="18.75" x14ac:dyDescent="0.35">
      <c r="A137" s="68" t="s">
        <v>7</v>
      </c>
      <c r="B137" s="79">
        <f>+B136*(C9*1000)^0.5*B135*B127/1000</f>
        <v>1895.4807286964178</v>
      </c>
      <c r="C137" s="48" t="s">
        <v>18</v>
      </c>
      <c r="D137" s="49" t="s">
        <v>10</v>
      </c>
      <c r="E137" s="49"/>
      <c r="F137" s="49"/>
      <c r="G137" s="49"/>
      <c r="H137" s="49"/>
      <c r="I137" s="50"/>
    </row>
    <row r="138" spans="1:16" ht="18" x14ac:dyDescent="0.35">
      <c r="A138" s="68" t="s">
        <v>12</v>
      </c>
      <c r="B138" s="79">
        <f>+B137*0.85</f>
        <v>1611.1586193919552</v>
      </c>
      <c r="C138" s="48" t="s">
        <v>18</v>
      </c>
      <c r="D138" s="49"/>
      <c r="E138" s="49"/>
      <c r="F138" s="49"/>
      <c r="G138" s="49"/>
      <c r="H138" s="49"/>
      <c r="I138" s="50"/>
    </row>
    <row r="139" spans="1:16" ht="18" x14ac:dyDescent="0.35">
      <c r="A139" s="68" t="s">
        <v>14</v>
      </c>
      <c r="B139" s="74">
        <f>+B131/B138</f>
        <v>0.9342417615186317</v>
      </c>
      <c r="C139" s="48"/>
      <c r="D139" s="49"/>
      <c r="E139" s="49"/>
      <c r="F139" s="49"/>
      <c r="G139" s="49"/>
      <c r="H139" s="49"/>
      <c r="I139" s="50"/>
    </row>
    <row r="140" spans="1:16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16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16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16" x14ac:dyDescent="0.25">
      <c r="A143" s="68" t="s">
        <v>1</v>
      </c>
      <c r="B143" s="53">
        <f>+C20-C14-C15-P21/2</f>
        <v>29.436</v>
      </c>
      <c r="C143" s="48" t="s">
        <v>0</v>
      </c>
      <c r="D143" s="49"/>
      <c r="E143" s="49"/>
      <c r="F143" s="49"/>
      <c r="G143" s="49"/>
      <c r="H143" s="49"/>
      <c r="I143" s="50"/>
    </row>
    <row r="144" spans="1:16" x14ac:dyDescent="0.25">
      <c r="A144" s="68" t="s">
        <v>64</v>
      </c>
      <c r="B144" s="58">
        <f>+C17*12/2-C42/2+C11</f>
        <v>11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0.37369207772795215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2*1.6*C13-1.6*0.15*C21*C22*C20/12*((C21/2-C42/2/12)/C21)</f>
        <v>755.74749999999995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1.6*C13*(2*B144)-1.6*0.15*C21*C22*C20/12*((C21/2-C42/2/12)/C21)*(C21/2-C42/2/12)*12/2</f>
        <v>8270.3387500000008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2.6898757212333044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632.45553203367581</v>
      </c>
      <c r="P148" s="4" t="s">
        <v>5</v>
      </c>
    </row>
    <row r="149" spans="1:16" ht="18" x14ac:dyDescent="0.35">
      <c r="A149" s="68" t="s">
        <v>447</v>
      </c>
      <c r="B149" s="58">
        <f>1/B148</f>
        <v>0.3717643875165732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1234.3045170145399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0.61228610086265878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28.308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+C17*12/2-C42/2+C11</f>
        <v>11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0.38858273279638267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2*1.6*C13-1.6*0.15*C21*C22*C20/12*((C22/2-C42/2/12)/C22)</f>
        <v>755.74749999999995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1.6*C13*(2*B157)-1.6*0.15*C21*C22*C20/12*((C22/2-C42/2/12)/C22)*(C22/2-C42/2/12)*12/2</f>
        <v>8270.3387500000008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2.5867985431672911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632.45553203367581</v>
      </c>
      <c r="P161" s="4" t="s">
        <v>5</v>
      </c>
    </row>
    <row r="162" spans="1:32" ht="18" x14ac:dyDescent="0.35">
      <c r="A162" s="68" t="s">
        <v>447</v>
      </c>
      <c r="B162" s="58">
        <f>1/B161</f>
        <v>0.38657822915563972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1187.0054446136564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0.63668410572958978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29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5.0856481481481479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14.5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41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3735.2435</v>
      </c>
      <c r="U171" s="4" t="s">
        <v>35</v>
      </c>
    </row>
    <row r="172" spans="1:32" ht="18.75" x14ac:dyDescent="0.35">
      <c r="A172" s="45"/>
      <c r="B172" s="53">
        <f>+C65</f>
        <v>11</v>
      </c>
      <c r="C172" s="48" t="s">
        <v>71</v>
      </c>
      <c r="D172" s="83" t="str">
        <f>"#"&amp;+C23</f>
        <v>#9</v>
      </c>
      <c r="E172" s="49" t="s">
        <v>72</v>
      </c>
      <c r="F172" s="49" t="s">
        <v>73</v>
      </c>
      <c r="G172" s="57">
        <f>+C22-0.5</f>
        <v>6</v>
      </c>
      <c r="H172" s="48" t="s">
        <v>74</v>
      </c>
      <c r="I172" s="50"/>
      <c r="Q172" s="4" t="s">
        <v>3</v>
      </c>
      <c r="R172" s="4">
        <f>4*(C9*1000)^0.5</f>
        <v>252.98221281347034</v>
      </c>
      <c r="S172" s="4" t="s">
        <v>5</v>
      </c>
      <c r="AB172" s="4" t="s">
        <v>86</v>
      </c>
      <c r="AE172" s="4">
        <f>+R175/T171*1000</f>
        <v>100.890031235023</v>
      </c>
      <c r="AF172" s="4" t="s">
        <v>5</v>
      </c>
    </row>
    <row r="173" spans="1:32" ht="18.75" x14ac:dyDescent="0.35">
      <c r="A173" s="45"/>
      <c r="B173" s="55">
        <f>+B172*2</f>
        <v>22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1.3825050000000001</v>
      </c>
      <c r="H173" s="48" t="s">
        <v>74</v>
      </c>
      <c r="I173" s="50"/>
      <c r="Q173" s="4" t="s">
        <v>7</v>
      </c>
      <c r="R173" s="4">
        <f>+R172*T171/1000</f>
        <v>944.95016602713179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327.8490737542366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803.20764112306199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376.84883338541664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11</v>
      </c>
      <c r="C176" s="48" t="s">
        <v>71</v>
      </c>
      <c r="D176" s="83" t="str">
        <f>"#"&amp;+C24</f>
        <v>#9</v>
      </c>
      <c r="E176" s="49" t="s">
        <v>72</v>
      </c>
      <c r="F176" s="49" t="s">
        <v>73</v>
      </c>
      <c r="G176" s="57">
        <f>+C21-0.5</f>
        <v>6</v>
      </c>
      <c r="H176" s="48" t="s">
        <v>74</v>
      </c>
      <c r="I176" s="50"/>
      <c r="Q176" s="4" t="s">
        <v>14</v>
      </c>
      <c r="R176" s="4">
        <f>+R175/R174</f>
        <v>0.46917984104147542</v>
      </c>
    </row>
    <row r="177" spans="1:32" x14ac:dyDescent="0.25">
      <c r="A177" s="45"/>
      <c r="B177" s="55">
        <f>+B176*2</f>
        <v>22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1.3825050000000001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327.8490737542366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29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655.6981475084732</v>
      </c>
      <c r="D180" s="48" t="s">
        <v>78</v>
      </c>
      <c r="E180" s="49" t="s">
        <v>79</v>
      </c>
      <c r="F180" s="88">
        <f>+C180/2000</f>
        <v>0.32784907375423661</v>
      </c>
      <c r="G180" s="48" t="s">
        <v>19</v>
      </c>
      <c r="H180" s="49"/>
      <c r="I180" s="50"/>
      <c r="Q180" s="4" t="s">
        <v>54</v>
      </c>
      <c r="T180" s="4">
        <f>+T179/2</f>
        <v>14.5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128.8015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5823.2435000000005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252.98221281347034</v>
      </c>
      <c r="S184" s="4" t="s">
        <v>5</v>
      </c>
      <c r="AB184" s="4" t="s">
        <v>86</v>
      </c>
      <c r="AE184" s="4">
        <f>+R187/T183*1000</f>
        <v>129.28427832107943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1473.1770263816579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1252.2004724244091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752.85383338541669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0.6012246840378539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29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14.5</v>
      </c>
      <c r="U192" s="4" t="s">
        <v>0</v>
      </c>
      <c r="W192" s="64"/>
    </row>
    <row r="193" spans="1:56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74.200375000000008</v>
      </c>
      <c r="U193" s="4" t="s">
        <v>0</v>
      </c>
      <c r="V193" s="64"/>
      <c r="W193" s="64"/>
    </row>
    <row r="194" spans="1:56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2151.8108750000001</v>
      </c>
      <c r="U194" s="4" t="s">
        <v>35</v>
      </c>
    </row>
    <row r="195" spans="1:56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252.98221281347034</v>
      </c>
      <c r="S195" s="4" t="s">
        <v>5</v>
      </c>
      <c r="AB195" s="4" t="s">
        <v>86</v>
      </c>
      <c r="AE195" s="4">
        <f>+R198/T194*1000</f>
        <v>174.34604160849136</v>
      </c>
      <c r="AF195" s="4" t="s">
        <v>5</v>
      </c>
    </row>
    <row r="196" spans="1:56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544.36987671358986</v>
      </c>
      <c r="S196" s="4" t="s">
        <v>8</v>
      </c>
      <c r="T196" s="4" t="s">
        <v>87</v>
      </c>
    </row>
    <row r="197" spans="1:56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462.71439520655139</v>
      </c>
      <c r="S197" s="4" t="s">
        <v>8</v>
      </c>
    </row>
    <row r="198" spans="1:56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375.15970834635419</v>
      </c>
      <c r="S198" s="4" t="s">
        <v>8</v>
      </c>
      <c r="T198" s="4" t="s">
        <v>350</v>
      </c>
    </row>
    <row r="199" spans="1:56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0.81078028311370431</v>
      </c>
      <c r="T199" s="4" t="s">
        <v>146</v>
      </c>
      <c r="V199" s="4">
        <f>+(C18*C18+C18*T170+3.1415*T170^2/4/4)/144</f>
        <v>11.333707248263888</v>
      </c>
      <c r="W199" s="4" t="s">
        <v>147</v>
      </c>
    </row>
    <row r="200" spans="1:56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6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6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29</v>
      </c>
      <c r="U202" s="4" t="s">
        <v>0</v>
      </c>
      <c r="V202" s="4" t="s">
        <v>53</v>
      </c>
      <c r="W202" s="64"/>
    </row>
    <row r="203" spans="1:56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6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97.3964</v>
      </c>
      <c r="U204" s="4" t="s">
        <v>0</v>
      </c>
      <c r="V204" s="64"/>
      <c r="W204" s="64"/>
    </row>
    <row r="205" spans="1:56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2824.4956000000002</v>
      </c>
      <c r="U205" s="4" t="s">
        <v>35</v>
      </c>
    </row>
    <row r="206" spans="1:56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126.49110640673517</v>
      </c>
      <c r="S206" s="4" t="s">
        <v>5</v>
      </c>
      <c r="AB206" s="4" t="s">
        <v>86</v>
      </c>
      <c r="AE206" s="4">
        <f>+R209/T205*1000</f>
        <v>131.40560100231568</v>
      </c>
      <c r="AF206" s="4" t="s">
        <v>5</v>
      </c>
    </row>
    <row r="207" spans="1:56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357.27357348495531</v>
      </c>
      <c r="S207" s="4" t="s">
        <v>8</v>
      </c>
      <c r="T207" s="4" t="s">
        <v>93</v>
      </c>
    </row>
    <row r="208" spans="1:56" ht="18" x14ac:dyDescent="0.35"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303.682537462212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</row>
    <row r="209" spans="1:56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 t="s">
        <v>58</v>
      </c>
      <c r="R209" s="49">
        <f>1.6*C13-1.6*(T204*0.7071/12*T204*0.7071/2/12)*C20/12*0.15</f>
        <v>371.15454184639628</v>
      </c>
      <c r="S209" s="49" t="s">
        <v>8</v>
      </c>
      <c r="T209" s="49" t="s">
        <v>350</v>
      </c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</row>
    <row r="210" spans="1:56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 t="s">
        <v>14</v>
      </c>
      <c r="R210" s="49">
        <f>+R209/R208</f>
        <v>1.222179401384184</v>
      </c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</row>
    <row r="211" spans="1:56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</row>
    <row r="212" spans="1:56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</row>
    <row r="213" spans="1:56" x14ac:dyDescent="0.25">
      <c r="A213" s="49"/>
      <c r="B213" s="49"/>
      <c r="C213" s="49"/>
      <c r="D213" s="49"/>
      <c r="E213" s="49"/>
      <c r="F213" s="49"/>
      <c r="G213" s="49"/>
      <c r="H213" s="49"/>
      <c r="I213" s="49"/>
    </row>
    <row r="214" spans="1:56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6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6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6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6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0" man="1"/>
    <brk id="84" max="30" man="1"/>
    <brk id="125" max="30" man="1"/>
    <brk id="166" max="30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9" width="9.140625" style="4" hidden="1" customWidth="1"/>
    <col min="40" max="52" width="9.140625" style="4" customWidth="1"/>
    <col min="53" max="16384" width="9.140625" style="4"/>
  </cols>
  <sheetData>
    <row r="1" spans="1:17" ht="15.6" x14ac:dyDescent="0.35">
      <c r="A1" s="15" t="s">
        <v>148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120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240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12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35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18.678525000000004</v>
      </c>
    </row>
    <row r="20" spans="1:17" ht="18" x14ac:dyDescent="0.35">
      <c r="A20" s="45"/>
      <c r="B20" s="46" t="s">
        <v>425</v>
      </c>
      <c r="C20" s="56">
        <v>43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18.678525000000004</v>
      </c>
    </row>
    <row r="21" spans="1:17" x14ac:dyDescent="0.25">
      <c r="A21" s="45"/>
      <c r="B21" s="46" t="s">
        <v>426</v>
      </c>
      <c r="C21" s="53">
        <f>2*C18/12+2*C17*0.7071</f>
        <v>7.7425999999999995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1.27</v>
      </c>
      <c r="M21" s="4" t="s">
        <v>20</v>
      </c>
      <c r="N21" s="4" t="s">
        <v>37</v>
      </c>
      <c r="P21" s="4">
        <f>+IF(C24&lt;9,(C24/8),IF(C24=9,1.128,IF(C24=10,1.27,IF(C24=11,1.41,IF(C24=14,1.693,0)))))</f>
        <v>1.27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2*C18/12+2*C17*0.7071</f>
        <v>7.7425999999999995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1.2667313375</v>
      </c>
      <c r="M22" s="4" t="s">
        <v>35</v>
      </c>
      <c r="N22" s="4" t="s">
        <v>38</v>
      </c>
      <c r="P22" s="4">
        <f>3.1415*P21^2/4</f>
        <v>1.2667313375</v>
      </c>
      <c r="Q22" s="4" t="s">
        <v>35</v>
      </c>
    </row>
    <row r="23" spans="1:17" x14ac:dyDescent="0.25">
      <c r="A23" s="45"/>
      <c r="B23" s="46" t="s">
        <v>428</v>
      </c>
      <c r="C23" s="47">
        <v>10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10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32.094999999999999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33.365000000000002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33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13.540749682261449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12</v>
      </c>
    </row>
    <row r="30" spans="1:17" x14ac:dyDescent="0.25">
      <c r="A30" s="45" t="s">
        <v>123</v>
      </c>
      <c r="B30" s="49"/>
      <c r="C30" s="49"/>
      <c r="D30" s="49"/>
      <c r="E30" s="62" t="str">
        <f>+IF(C63&gt;C61,"NG; select smaller bar size","OK")</f>
        <v>NG; select smaller bar size</v>
      </c>
      <c r="F30" s="49"/>
      <c r="G30" s="49"/>
      <c r="H30" s="49"/>
      <c r="I30" s="50"/>
    </row>
    <row r="31" spans="1:17" ht="18.75" x14ac:dyDescent="0.3">
      <c r="A31" s="45" t="s">
        <v>124</v>
      </c>
      <c r="B31" s="49"/>
      <c r="C31" s="49"/>
      <c r="D31" s="49"/>
      <c r="E31" s="62" t="str">
        <f>+IF(C81&gt;C79,"NG; select smaller bar size","OK")</f>
        <v>NG; select smaller bar size</v>
      </c>
      <c r="F31" s="49"/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NG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33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16.5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45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applicable",IF(B139&lt;1,"OK","NG"))</f>
        <v>Not applicable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4665.1275000000005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NG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80.276877983238407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1022.0782261550729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868.76649223181198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374.50187109375003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1.6*5*C13-1.6*C21*C22*C20/12*0.15</f>
        <v>1868.4448449064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0.43107310703440682</v>
      </c>
    </row>
    <row r="41" spans="1:25" x14ac:dyDescent="0.25">
      <c r="A41" s="45"/>
      <c r="B41" s="46" t="s">
        <v>433</v>
      </c>
      <c r="C41" s="58">
        <f>+(C40/4)^0.5</f>
        <v>21.612755752716961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22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1.6*C13*(2*(0.7071*C17*12+C11-C42/4))-1.6*(C22/2-C42/12/4)*C21*C20/12*0.15*(C22/2-C42/12/4)*12/2</f>
        <v>17164.528404974168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2216.8946355196149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32.094999999999999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1.3376869492204655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10.357174973034375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13.809566630712501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8.1665021546201508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9.9399498799999986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9.9399498799999986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7.1913268799999983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10.357174973034375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109"/>
      <c r="B57" s="76" t="s">
        <v>45</v>
      </c>
      <c r="C57" s="57">
        <f>+C21/C22</f>
        <v>1</v>
      </c>
      <c r="D57" s="48"/>
      <c r="E57" s="49"/>
      <c r="F57" s="49"/>
      <c r="G57" s="49"/>
      <c r="H57" s="49"/>
      <c r="I57" s="50"/>
    </row>
    <row r="58" spans="1:9" ht="18" x14ac:dyDescent="0.35">
      <c r="A58" s="109"/>
      <c r="B58" s="76" t="s">
        <v>47</v>
      </c>
      <c r="C58" s="55">
        <f>2/(C57+1)</f>
        <v>1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10.357174973034375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10.357174973034375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18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19.477014144883707</v>
      </c>
      <c r="D63" s="48" t="s">
        <v>0</v>
      </c>
      <c r="E63" s="49" t="str">
        <f>+IF(C63&gt;C61,"NG; insufficient length available to develop hook","OK; sufficient length available to develop hook")</f>
        <v>NG; insufficient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8.1762996354658153</v>
      </c>
      <c r="D64" s="48"/>
      <c r="E64" s="49"/>
      <c r="F64" s="49"/>
      <c r="G64" s="49"/>
      <c r="H64" s="49"/>
      <c r="I64" s="50"/>
    </row>
    <row r="65" spans="1:9" x14ac:dyDescent="0.25">
      <c r="A65" s="45"/>
      <c r="B65" s="46" t="s">
        <v>442</v>
      </c>
      <c r="C65" s="56">
        <v>14</v>
      </c>
      <c r="D65" s="48"/>
      <c r="E65" s="49"/>
      <c r="F65" s="49"/>
      <c r="G65" s="49"/>
      <c r="H65" s="49"/>
      <c r="I65" s="50"/>
    </row>
    <row r="66" spans="1:9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9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9" ht="18" x14ac:dyDescent="0.35">
      <c r="A68" s="45"/>
      <c r="B68" s="46" t="s">
        <v>26</v>
      </c>
      <c r="C68" s="69">
        <f>1.6*C13*(2*(0.7071*C17*12+C11-C42/4))-1.6*(C21/2-C42/12/4)*C22*C20/12*0.15*(C21/2-C42/12/4)*12/2</f>
        <v>17164.528404974168</v>
      </c>
      <c r="D68" s="48" t="s">
        <v>27</v>
      </c>
      <c r="E68" s="49" t="s">
        <v>118</v>
      </c>
      <c r="F68" s="49"/>
      <c r="G68" s="49"/>
      <c r="H68" s="49"/>
      <c r="I68" s="50"/>
    </row>
    <row r="69" spans="1:9" ht="18" x14ac:dyDescent="0.35">
      <c r="A69" s="45"/>
      <c r="B69" s="46" t="s">
        <v>26</v>
      </c>
      <c r="C69" s="79">
        <f>+C68/C22</f>
        <v>2216.8946355196149</v>
      </c>
      <c r="D69" s="48" t="s">
        <v>28</v>
      </c>
      <c r="E69" s="49" t="s">
        <v>29</v>
      </c>
      <c r="F69" s="49"/>
      <c r="G69" s="49"/>
      <c r="H69" s="49"/>
      <c r="I69" s="50"/>
    </row>
    <row r="70" spans="1:9" x14ac:dyDescent="0.25">
      <c r="A70" s="45"/>
      <c r="B70" s="46" t="s">
        <v>1</v>
      </c>
      <c r="C70" s="55">
        <f>+C20-C14-C15-P21/2</f>
        <v>33.365000000000002</v>
      </c>
      <c r="D70" s="48" t="s">
        <v>0</v>
      </c>
      <c r="E70" s="49"/>
      <c r="F70" s="49"/>
      <c r="G70" s="49"/>
      <c r="H70" s="49"/>
      <c r="I70" s="50"/>
    </row>
    <row r="71" spans="1:9" ht="18" x14ac:dyDescent="0.35">
      <c r="A71" s="45"/>
      <c r="B71" s="46" t="s">
        <v>40</v>
      </c>
      <c r="C71" s="58">
        <f>IF(C9=3,0.51*C70-(0.26*C70^2-0.0189*C69)^0.5,0.68*C70-(0.462*C70^2-0.0252*C69)^0.5)</f>
        <v>1.2827864089340597</v>
      </c>
      <c r="D71" s="48" t="s">
        <v>435</v>
      </c>
      <c r="E71" s="49"/>
      <c r="F71" s="49"/>
      <c r="G71" s="49"/>
      <c r="H71" s="49"/>
      <c r="I71" s="50"/>
    </row>
    <row r="72" spans="1:9" ht="18" x14ac:dyDescent="0.35">
      <c r="A72" s="45"/>
      <c r="B72" s="46" t="s">
        <v>39</v>
      </c>
      <c r="C72" s="58">
        <f>+C71*C22</f>
        <v>9.9321020498128494</v>
      </c>
      <c r="D72" s="48" t="s">
        <v>436</v>
      </c>
      <c r="E72" s="49"/>
      <c r="F72" s="49"/>
      <c r="G72" s="49"/>
      <c r="H72" s="49"/>
      <c r="I72" s="50"/>
    </row>
    <row r="73" spans="1:9" ht="18" x14ac:dyDescent="0.35">
      <c r="A73" s="45"/>
      <c r="B73" s="46" t="s">
        <v>43</v>
      </c>
      <c r="C73" s="58">
        <f>+C72*4/3</f>
        <v>13.242802733083799</v>
      </c>
      <c r="D73" s="48" t="s">
        <v>436</v>
      </c>
      <c r="E73" s="49"/>
      <c r="F73" s="49"/>
      <c r="G73" s="49"/>
      <c r="H73" s="49"/>
      <c r="I73" s="50"/>
    </row>
    <row r="74" spans="1:9" ht="18.75" x14ac:dyDescent="0.35">
      <c r="A74" s="45"/>
      <c r="B74" s="46" t="s">
        <v>437</v>
      </c>
      <c r="C74" s="58">
        <f>3*(C9*1000)^0.5*C22*12*C70/C10/1000</f>
        <v>8.4896508611591024</v>
      </c>
      <c r="D74" s="48" t="s">
        <v>436</v>
      </c>
      <c r="E74" s="49"/>
      <c r="F74" s="49"/>
      <c r="G74" s="49"/>
      <c r="H74" s="49"/>
      <c r="I74" s="50"/>
    </row>
    <row r="75" spans="1:9" ht="18" x14ac:dyDescent="0.35">
      <c r="A75" s="45"/>
      <c r="B75" s="46" t="s">
        <v>438</v>
      </c>
      <c r="C75" s="58">
        <f>200*C22*12*C70/C10/1000</f>
        <v>10.333273959999998</v>
      </c>
      <c r="D75" s="48" t="s">
        <v>436</v>
      </c>
      <c r="E75" s="49"/>
      <c r="F75" s="49"/>
      <c r="G75" s="49"/>
      <c r="H75" s="49"/>
      <c r="I75" s="50"/>
    </row>
    <row r="76" spans="1:9" ht="18" x14ac:dyDescent="0.35">
      <c r="A76" s="45"/>
      <c r="B76" s="46" t="s">
        <v>44</v>
      </c>
      <c r="C76" s="58">
        <f>+MAX(C74:C75)</f>
        <v>10.333273959999998</v>
      </c>
      <c r="D76" s="48" t="s">
        <v>436</v>
      </c>
      <c r="E76" s="49"/>
      <c r="F76" s="49"/>
      <c r="G76" s="49"/>
      <c r="H76" s="49"/>
      <c r="I76" s="50"/>
    </row>
    <row r="77" spans="1:9" ht="18" x14ac:dyDescent="0.35">
      <c r="A77" s="45"/>
      <c r="B77" s="46" t="s">
        <v>439</v>
      </c>
      <c r="C77" s="58">
        <f>+IF(C10=60,0.0018*C22*12*C20,0.002*C22*12*C20)</f>
        <v>7.1913268799999983</v>
      </c>
      <c r="D77" s="48" t="s">
        <v>436</v>
      </c>
      <c r="E77" s="49"/>
      <c r="F77" s="49"/>
      <c r="G77" s="49"/>
      <c r="H77" s="49"/>
      <c r="I77" s="50"/>
    </row>
    <row r="78" spans="1:9" ht="18" x14ac:dyDescent="0.35">
      <c r="A78" s="45"/>
      <c r="B78" s="46" t="s">
        <v>41</v>
      </c>
      <c r="C78" s="58">
        <f>+IF(C72&gt;C76,C72,IF(C73&gt;C76,C76,IF(C73&gt;C77,C73,C77)))</f>
        <v>10.333273959999998</v>
      </c>
      <c r="D78" s="48" t="s">
        <v>436</v>
      </c>
      <c r="E78" s="49"/>
      <c r="F78" s="49"/>
      <c r="G78" s="49"/>
      <c r="H78" s="49"/>
      <c r="I78" s="50"/>
    </row>
    <row r="79" spans="1:9" x14ac:dyDescent="0.25">
      <c r="A79" s="45"/>
      <c r="B79" s="46" t="s">
        <v>440</v>
      </c>
      <c r="C79" s="55">
        <f>+C18-C11</f>
        <v>18</v>
      </c>
      <c r="D79" s="48" t="s">
        <v>0</v>
      </c>
      <c r="E79" s="49" t="s">
        <v>52</v>
      </c>
      <c r="F79" s="49"/>
      <c r="G79" s="49"/>
      <c r="H79" s="49"/>
      <c r="I79" s="50"/>
    </row>
    <row r="80" spans="1:9" ht="18" x14ac:dyDescent="0.35">
      <c r="A80" s="45"/>
      <c r="B80" s="46" t="s">
        <v>51</v>
      </c>
      <c r="C80" s="55">
        <v>1</v>
      </c>
      <c r="D80" s="48"/>
      <c r="E80" s="49" t="s">
        <v>50</v>
      </c>
      <c r="F80" s="49"/>
      <c r="G80" s="49"/>
      <c r="H80" s="49"/>
      <c r="I80" s="50"/>
    </row>
    <row r="81" spans="1:17" ht="18" x14ac:dyDescent="0.35">
      <c r="A81" s="45"/>
      <c r="B81" s="46" t="s">
        <v>48</v>
      </c>
      <c r="C81" s="58">
        <f>0.02*C62*C10*1000/(C9*1000)^0.5*P21*0.7</f>
        <v>19.477014144883707</v>
      </c>
      <c r="D81" s="48" t="s">
        <v>0</v>
      </c>
      <c r="E81" s="49" t="str">
        <f>+IF(C81&gt;C79,"NG; insufficient length available to develop hook","OK; sufficient length available to develop hook")</f>
        <v>NG; insufficient length available to develop hook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8.1574313779854659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14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33</v>
      </c>
      <c r="C86" s="48" t="s">
        <v>0</v>
      </c>
      <c r="F86" s="49"/>
      <c r="G86" s="80"/>
      <c r="H86" s="49"/>
      <c r="I86" s="50"/>
      <c r="J86" s="4" t="s">
        <v>55</v>
      </c>
      <c r="K86" s="64"/>
      <c r="M86" s="64">
        <f>+B86/2+C42/2</f>
        <v>27.5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16.5</v>
      </c>
      <c r="C87" s="48" t="s">
        <v>0</v>
      </c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+C17*0.7071*12+C11</f>
        <v>28.455599999999997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+IF(M86&gt;O88,0,4)</f>
        <v>4</v>
      </c>
      <c r="G88" s="49"/>
      <c r="H88" s="49"/>
      <c r="I88" s="50"/>
      <c r="J88" s="4" t="s">
        <v>57</v>
      </c>
      <c r="K88" s="64"/>
      <c r="L88" s="64"/>
      <c r="M88" s="64"/>
      <c r="N88" s="64"/>
      <c r="O88" s="64">
        <f>+C17*0.7071*12+C11</f>
        <v>28.455599999999997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</row>
    <row r="90" spans="1:17" ht="18" x14ac:dyDescent="0.35">
      <c r="A90" s="68" t="s">
        <v>11</v>
      </c>
      <c r="B90" s="55">
        <f>4*(B86+C42)</f>
        <v>220</v>
      </c>
      <c r="C90" s="48" t="s">
        <v>0</v>
      </c>
      <c r="D90" s="49"/>
      <c r="E90" s="49"/>
      <c r="F90" s="49"/>
      <c r="G90" s="49"/>
      <c r="H90" s="49"/>
      <c r="I90" s="50"/>
    </row>
    <row r="91" spans="1:17" ht="18.75" x14ac:dyDescent="0.35">
      <c r="A91" s="68" t="s">
        <v>7</v>
      </c>
      <c r="B91" s="79">
        <f>+B89*B90*B86/1000</f>
        <v>1590.5863069950026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219.08902300206645</v>
      </c>
      <c r="P91" s="4" t="s">
        <v>5</v>
      </c>
    </row>
    <row r="92" spans="1:17" ht="18" x14ac:dyDescent="0.35">
      <c r="A92" s="68" t="s">
        <v>12</v>
      </c>
      <c r="B92" s="79">
        <f>+B91*0.85</f>
        <v>1351.9983609457522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1502.5108171286222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1.1113259161627853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33</v>
      </c>
      <c r="C98" s="48" t="s">
        <v>0</v>
      </c>
      <c r="F98" s="49"/>
      <c r="G98" s="49"/>
      <c r="H98" s="49"/>
      <c r="I98" s="50"/>
      <c r="J98" s="4" t="s">
        <v>59</v>
      </c>
      <c r="K98" s="64"/>
      <c r="M98" s="64">
        <f>+C42/2+B98</f>
        <v>44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+IF(M98&gt;O99,0,2)</f>
        <v>0</v>
      </c>
      <c r="G99" s="49"/>
      <c r="H99" s="49"/>
      <c r="I99" s="50"/>
      <c r="J99" s="4" t="s">
        <v>60</v>
      </c>
      <c r="K99" s="64"/>
      <c r="L99" s="64"/>
      <c r="M99" s="64"/>
      <c r="N99" s="64"/>
      <c r="O99" s="64">
        <f>0.7071*C17*12+C11</f>
        <v>28.455599999999997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</row>
    <row r="101" spans="1:17" x14ac:dyDescent="0.25">
      <c r="A101" s="68" t="s">
        <v>62</v>
      </c>
      <c r="B101" s="79">
        <f>+C22*12*B98</f>
        <v>3066.0695999999998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109.54451150103323</v>
      </c>
      <c r="P101" s="4" t="s">
        <v>5</v>
      </c>
    </row>
    <row r="102" spans="1:17" ht="18.75" x14ac:dyDescent="0.35">
      <c r="A102" s="68" t="s">
        <v>7</v>
      </c>
      <c r="B102" s="79">
        <f>+B100*B101/1000</f>
        <v>335.87109656016833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285.49043207614307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-1.3625788801333323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-4.7727654836779935E-3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33</v>
      </c>
      <c r="C109" s="48" t="s">
        <v>0</v>
      </c>
      <c r="F109" s="49"/>
      <c r="G109" s="49"/>
      <c r="H109" s="49"/>
      <c r="I109" s="50"/>
      <c r="J109" s="4" t="s">
        <v>59</v>
      </c>
      <c r="K109" s="64"/>
      <c r="M109" s="64">
        <f>+C42/2+B109</f>
        <v>44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+IF(M109&gt;O110,0,2)</f>
        <v>0</v>
      </c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0.7071*C17*12+C11</f>
        <v>28.455599999999997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+C21*12*B109</f>
        <v>3066.0695999999998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9" ht="18.75" x14ac:dyDescent="0.35">
      <c r="A113" s="68" t="s">
        <v>7</v>
      </c>
      <c r="B113" s="79">
        <f>+B111*B112/1000</f>
        <v>335.87109656016833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9" ht="18" x14ac:dyDescent="0.35">
      <c r="A114" s="68" t="s">
        <v>12</v>
      </c>
      <c r="B114" s="79">
        <f>+B113*0.85</f>
        <v>285.49043207614307</v>
      </c>
      <c r="C114" s="48" t="s">
        <v>18</v>
      </c>
      <c r="D114" s="49"/>
      <c r="E114" s="49"/>
      <c r="F114" s="49"/>
      <c r="G114" s="49"/>
      <c r="H114" s="49"/>
      <c r="I114" s="50"/>
    </row>
    <row r="115" spans="1:9" ht="18" x14ac:dyDescent="0.35">
      <c r="A115" s="68" t="s">
        <v>58</v>
      </c>
      <c r="B115" s="79">
        <f>+E110*C13*1.6-1.6*0.15*C21*C22*C20/12*((C22/2-M109/12)/C22)</f>
        <v>-1.3625788801333323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9" ht="18" x14ac:dyDescent="0.35">
      <c r="A116" s="68" t="s">
        <v>14</v>
      </c>
      <c r="B116" s="74">
        <f>+B115/B114</f>
        <v>-4.7727654836779935E-3</v>
      </c>
      <c r="C116" s="48"/>
      <c r="D116" s="49"/>
      <c r="E116" s="49"/>
      <c r="F116" s="49"/>
      <c r="G116" s="49"/>
      <c r="H116" s="49"/>
      <c r="I116" s="50"/>
    </row>
    <row r="117" spans="1:9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9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9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9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9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9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9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9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9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9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9" x14ac:dyDescent="0.25">
      <c r="A127" s="68" t="s">
        <v>1</v>
      </c>
      <c r="B127" s="53">
        <f>+B86</f>
        <v>33</v>
      </c>
      <c r="C127" s="48" t="s">
        <v>0</v>
      </c>
      <c r="F127" s="49"/>
      <c r="G127" s="49"/>
      <c r="H127" s="49"/>
      <c r="I127" s="50"/>
    </row>
    <row r="128" spans="1:9" x14ac:dyDescent="0.25">
      <c r="A128" s="68" t="s">
        <v>54</v>
      </c>
      <c r="B128" s="54">
        <f>+B127/2</f>
        <v>16.5</v>
      </c>
      <c r="C128" s="48" t="s">
        <v>0</v>
      </c>
      <c r="F128" s="49"/>
      <c r="G128" s="49"/>
      <c r="H128" s="49"/>
      <c r="I128" s="50"/>
    </row>
    <row r="129" spans="1:16" x14ac:dyDescent="0.25">
      <c r="A129" s="68"/>
      <c r="B129" s="49"/>
      <c r="C129" s="48"/>
      <c r="D129" s="46" t="s">
        <v>453</v>
      </c>
      <c r="E129" s="83">
        <v>4</v>
      </c>
      <c r="G129" s="49"/>
      <c r="H129" s="49"/>
      <c r="I129" s="50"/>
    </row>
    <row r="130" spans="1:16" ht="18" x14ac:dyDescent="0.35">
      <c r="A130" s="68" t="s">
        <v>454</v>
      </c>
      <c r="B130" s="57">
        <f>+C17*12*0.7071-C42/2+C11</f>
        <v>17.455599999999997</v>
      </c>
      <c r="C130" s="48" t="s">
        <v>0</v>
      </c>
      <c r="D130" s="49" t="str">
        <f>IF(B130&gt;B128,"&gt;","&lt;")</f>
        <v>&gt;</v>
      </c>
      <c r="E130" s="49" t="s">
        <v>17</v>
      </c>
      <c r="F130" s="49" t="str">
        <f>IF(D130="&gt;","Limit state not applicable","This procedure applies")</f>
        <v>Limit state not applicable</v>
      </c>
      <c r="G130" s="49"/>
      <c r="H130" s="49"/>
      <c r="I130" s="50"/>
    </row>
    <row r="131" spans="1:16" ht="18" x14ac:dyDescent="0.35">
      <c r="A131" s="68" t="s">
        <v>58</v>
      </c>
      <c r="B131" s="79">
        <f>+C13*E129*1.6-1.6*0.15*C21*C22*C20/12+1.6*0.15*(C42)/12*(C42)/12*C20/12</f>
        <v>1487.3354004619555</v>
      </c>
      <c r="C131" s="48" t="s">
        <v>18</v>
      </c>
      <c r="D131" s="49"/>
      <c r="E131" s="49"/>
      <c r="F131" s="49"/>
      <c r="G131" s="49"/>
      <c r="H131" s="49"/>
      <c r="I131" s="50"/>
    </row>
    <row r="132" spans="1:16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</row>
    <row r="133" spans="1:16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</row>
    <row r="134" spans="1:16" ht="18" x14ac:dyDescent="0.35">
      <c r="A134" s="68" t="s">
        <v>11</v>
      </c>
      <c r="B134" s="58">
        <f>4*(B127+C42)</f>
        <v>220</v>
      </c>
      <c r="C134" s="48" t="s">
        <v>0</v>
      </c>
      <c r="D134" s="49"/>
      <c r="E134" s="49"/>
      <c r="F134" s="49"/>
      <c r="G134" s="49"/>
      <c r="H134" s="49"/>
      <c r="I134" s="50"/>
    </row>
    <row r="135" spans="1:16" ht="18" x14ac:dyDescent="0.35">
      <c r="A135" s="68" t="s">
        <v>2</v>
      </c>
      <c r="B135" s="58">
        <f>4*C42</f>
        <v>88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517.73770015555135</v>
      </c>
      <c r="P135" s="4" t="s">
        <v>5</v>
      </c>
    </row>
    <row r="136" spans="1:16" x14ac:dyDescent="0.25">
      <c r="A136" s="68" t="s">
        <v>6</v>
      </c>
      <c r="B136" s="58">
        <f>IF(2*B127/B130*(1+B127/C42)&lt;32,2*B127/B130*(1+B127/C42),32)</f>
        <v>9.4525539082013808</v>
      </c>
      <c r="C136" s="48"/>
      <c r="D136" s="49" t="s">
        <v>9</v>
      </c>
      <c r="E136" s="49"/>
      <c r="F136" s="49"/>
      <c r="G136" s="49"/>
      <c r="H136" s="49"/>
      <c r="I136" s="50"/>
    </row>
    <row r="137" spans="1:16" ht="18.75" x14ac:dyDescent="0.35">
      <c r="A137" s="68" t="s">
        <v>7</v>
      </c>
      <c r="B137" s="79">
        <f>+B136*(C9*1000)^0.5*B135*B127/1000</f>
        <v>1503.5102812517214</v>
      </c>
      <c r="C137" s="48" t="s">
        <v>18</v>
      </c>
      <c r="D137" s="49" t="s">
        <v>10</v>
      </c>
      <c r="E137" s="49"/>
      <c r="F137" s="49"/>
      <c r="G137" s="49"/>
      <c r="H137" s="49"/>
      <c r="I137" s="50"/>
    </row>
    <row r="138" spans="1:16" ht="18" x14ac:dyDescent="0.35">
      <c r="A138" s="68" t="s">
        <v>12</v>
      </c>
      <c r="B138" s="79">
        <f>+B137*0.85</f>
        <v>1277.9837390639632</v>
      </c>
      <c r="C138" s="48" t="s">
        <v>18</v>
      </c>
      <c r="D138" s="49"/>
      <c r="E138" s="49"/>
      <c r="F138" s="49"/>
      <c r="G138" s="49"/>
      <c r="H138" s="49"/>
      <c r="I138" s="50"/>
    </row>
    <row r="139" spans="1:16" ht="18" x14ac:dyDescent="0.35">
      <c r="A139" s="68" t="s">
        <v>14</v>
      </c>
      <c r="B139" s="74">
        <f>+B131/B138</f>
        <v>1.1638140259525744</v>
      </c>
      <c r="C139" s="48"/>
      <c r="D139" s="49"/>
      <c r="E139" s="49"/>
      <c r="F139" s="49"/>
      <c r="G139" s="49"/>
      <c r="H139" s="49"/>
      <c r="I139" s="50"/>
    </row>
    <row r="140" spans="1:16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16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16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16" x14ac:dyDescent="0.25">
      <c r="A143" s="68" t="s">
        <v>1</v>
      </c>
      <c r="B143" s="53">
        <f>+C20-C14-C15-P21/2</f>
        <v>33.365000000000002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16" x14ac:dyDescent="0.25">
      <c r="A144" s="68" t="s">
        <v>64</v>
      </c>
      <c r="B144" s="58">
        <f>+C17*12*0.7071-C42/2+C11</f>
        <v>17.455599999999997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0.52317098756181613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2*1.6*C13-1.6*0.15*C21*C22*C20/12*((C21/2-C42/2/12)/C21)</f>
        <v>748.32617211986667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1.6*C13*(2*B144)-1.6*0.15*C21*C22*C20/12*((C21/2-C42/2/12)/C21)*(C21/2-C42/2/12)*12/2</f>
        <v>13057.12711410657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1.9122049218472186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480.04056948702015</v>
      </c>
      <c r="P148" s="4" t="s">
        <v>5</v>
      </c>
    </row>
    <row r="149" spans="1:16" ht="18" x14ac:dyDescent="0.35">
      <c r="A149" s="68" t="s">
        <v>447</v>
      </c>
      <c r="B149" s="58">
        <f>1/B148</f>
        <v>0.52295650354983136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8.7643016141889021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1264.8996326880679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0.59160913070199983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32.094999999999999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+C17*12*0.7071-C42/2+C11</f>
        <v>17.455599999999997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0.54387287739523282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2*1.6*C13-1.6*0.15*C21*C22*C20/12*((C22/2-C42/2/12)/C22)</f>
        <v>748.32617211986667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1.6*C13*(2*B157)-1.6*0.15*C21*C22*C20/12*((C22/2-C42/2/12)/C22)*(C22/2-C42/2/12)*12/2</f>
        <v>13057.12711410657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1.8394190608927463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449.30390409237089</v>
      </c>
      <c r="P161" s="4" t="s">
        <v>5</v>
      </c>
    </row>
    <row r="162" spans="1:32" ht="18" x14ac:dyDescent="0.35">
      <c r="A162" s="68" t="s">
        <v>447</v>
      </c>
      <c r="B162" s="58">
        <f>1/B161</f>
        <v>0.54364990624521337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8.2031294482176413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1138.8448633294558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0.65709228378315454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33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7.9560424527160487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16.5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45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4665.1275000000005</v>
      </c>
      <c r="U171" s="4" t="s">
        <v>35</v>
      </c>
    </row>
    <row r="172" spans="1:32" ht="18.75" x14ac:dyDescent="0.35">
      <c r="A172" s="45"/>
      <c r="B172" s="53">
        <f>+C65</f>
        <v>14</v>
      </c>
      <c r="C172" s="48" t="s">
        <v>71</v>
      </c>
      <c r="D172" s="83" t="str">
        <f>"#"&amp;+C23</f>
        <v>#10</v>
      </c>
      <c r="E172" s="49" t="s">
        <v>72</v>
      </c>
      <c r="F172" s="49" t="s">
        <v>73</v>
      </c>
      <c r="G172" s="57">
        <f>+C22-0.5</f>
        <v>7.2425999999999995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80.276877983238407</v>
      </c>
      <c r="AF172" s="4" t="s">
        <v>5</v>
      </c>
    </row>
    <row r="173" spans="1:32" ht="18.75" x14ac:dyDescent="0.35">
      <c r="A173" s="45"/>
      <c r="B173" s="55">
        <f>+B172*2</f>
        <v>28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1.5565437500000003</v>
      </c>
      <c r="H173" s="48" t="s">
        <v>74</v>
      </c>
      <c r="I173" s="50"/>
      <c r="Q173" s="4" t="s">
        <v>7</v>
      </c>
      <c r="R173" s="4">
        <f>+R172*T171/1000</f>
        <v>1022.0782261550729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624.92093611377948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868.76649223181198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374.50187109375003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14</v>
      </c>
      <c r="C176" s="48" t="s">
        <v>71</v>
      </c>
      <c r="D176" s="83" t="str">
        <f>"#"&amp;+C24</f>
        <v>#10</v>
      </c>
      <c r="E176" s="49" t="s">
        <v>72</v>
      </c>
      <c r="F176" s="49" t="s">
        <v>73</v>
      </c>
      <c r="G176" s="57">
        <f>+C21-0.5</f>
        <v>7.2425999999999995</v>
      </c>
      <c r="H176" s="48" t="s">
        <v>74</v>
      </c>
      <c r="I176" s="50"/>
      <c r="Q176" s="4" t="s">
        <v>14</v>
      </c>
      <c r="R176" s="4">
        <f>+R175/R174</f>
        <v>0.43107310703440682</v>
      </c>
    </row>
    <row r="177" spans="1:32" x14ac:dyDescent="0.25">
      <c r="A177" s="45"/>
      <c r="B177" s="55">
        <f>+B176*2</f>
        <v>28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1.5565437500000003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624.92093611377948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33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1249.841872227559</v>
      </c>
      <c r="D180" s="48" t="s">
        <v>78</v>
      </c>
      <c r="E180" s="49" t="s">
        <v>79</v>
      </c>
      <c r="F180" s="88">
        <f>+C180/2000</f>
        <v>0.62492093611377952</v>
      </c>
      <c r="G180" s="48" t="s">
        <v>19</v>
      </c>
      <c r="H180" s="49"/>
      <c r="I180" s="50"/>
      <c r="Q180" s="4" t="s">
        <v>54</v>
      </c>
      <c r="T180" s="4">
        <f>+T179/2</f>
        <v>16.5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141.36750000000001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7041.1275000000005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106.35042059581366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1542.6337448079828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1311.2386830867854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748.82687109375001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0.57108357216165828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33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16.5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77.341875000000002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2552.2818750000001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146.28006860466283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559.17694241963238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475.30040105668752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373.34796777343752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0.7854989538056576</v>
      </c>
      <c r="T199" s="4" t="s">
        <v>146</v>
      </c>
      <c r="V199" s="4">
        <f>+(C18*C18+C18*T170+3.1415*T170^2/4/4)/144</f>
        <v>12.386083984374999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33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97.3964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3214.0812000000001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115.06773971947167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352.08495497865471</v>
      </c>
      <c r="S207" s="4" t="s">
        <v>8</v>
      </c>
      <c r="T207" s="4" t="s">
        <v>93</v>
      </c>
    </row>
    <row r="208" spans="1:58" ht="18" x14ac:dyDescent="0.35"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299.27221173185649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369.83705895884719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1.2357881703036826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8" man="1"/>
    <brk id="84" max="38" man="1"/>
    <brk id="125" max="38" man="1"/>
    <brk id="166" max="38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75" x14ac:dyDescent="0.25">
      <c r="A1" s="15" t="s">
        <v>202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x14ac:dyDescent="0.2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x14ac:dyDescent="0.2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9"/>
      <c r="C6" s="49"/>
      <c r="D6" s="49"/>
      <c r="E6" s="49"/>
      <c r="F6" s="49"/>
      <c r="G6" s="49"/>
      <c r="H6" s="49"/>
      <c r="I6" s="50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4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120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240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12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35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18.678525000000004</v>
      </c>
    </row>
    <row r="20" spans="1:17" ht="18" x14ac:dyDescent="0.35">
      <c r="A20" s="45"/>
      <c r="B20" s="46" t="s">
        <v>425</v>
      </c>
      <c r="C20" s="56">
        <v>48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18.678525000000004</v>
      </c>
    </row>
    <row r="21" spans="1:17" x14ac:dyDescent="0.25">
      <c r="A21" s="45"/>
      <c r="B21" s="46" t="s">
        <v>426</v>
      </c>
      <c r="C21" s="53">
        <f>2*C18/12+2*C17</f>
        <v>9.5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1.27</v>
      </c>
      <c r="M21" s="4" t="s">
        <v>20</v>
      </c>
      <c r="N21" s="4" t="s">
        <v>37</v>
      </c>
      <c r="P21" s="4">
        <f>+IF(C24&lt;9,(C24/8),IF(C24=9,1.128,IF(C24=10,1.27,IF(C24=11,1.41,IF(C24=14,1.693,0)))))</f>
        <v>1.27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2*C18/12+C17</f>
        <v>6.5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1.2667313375</v>
      </c>
      <c r="M22" s="4" t="s">
        <v>35</v>
      </c>
      <c r="N22" s="4" t="s">
        <v>38</v>
      </c>
      <c r="P22" s="4">
        <f>3.1415*P21^2/4</f>
        <v>1.2667313375</v>
      </c>
      <c r="Q22" s="4" t="s">
        <v>35</v>
      </c>
    </row>
    <row r="23" spans="1:17" x14ac:dyDescent="0.25">
      <c r="A23" s="45"/>
      <c r="B23" s="46" t="s">
        <v>428</v>
      </c>
      <c r="C23" s="47">
        <v>10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10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37.094999999999999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38.365000000000002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38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13.540749682261449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12</v>
      </c>
    </row>
    <row r="30" spans="1:17" x14ac:dyDescent="0.25">
      <c r="A30" s="45" t="s">
        <v>123</v>
      </c>
      <c r="B30" s="49"/>
      <c r="C30" s="49"/>
      <c r="D30" s="49"/>
      <c r="E30" s="62" t="str">
        <f>+IF(C63&gt;C61,"NG; select smaller bar size","OK")</f>
        <v>OK</v>
      </c>
      <c r="F30" s="49"/>
      <c r="G30" s="49"/>
      <c r="H30" s="49"/>
      <c r="I30" s="50"/>
    </row>
    <row r="31" spans="1:17" ht="18.75" x14ac:dyDescent="0.3">
      <c r="A31" s="45" t="s">
        <v>124</v>
      </c>
      <c r="B31" s="49"/>
      <c r="C31" s="49"/>
      <c r="D31" s="49"/>
      <c r="E31" s="62" t="str">
        <f>+IF(C81&gt;C79,"NG; select smaller bar size","OK")</f>
        <v>OK</v>
      </c>
      <c r="F31" s="49"/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38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19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50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applicable",IF(G139&lt;1,"OK","NG"))</f>
        <v>NG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5968.85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252.98221281347034</v>
      </c>
      <c r="L36" s="4" t="s">
        <v>5</v>
      </c>
      <c r="U36" s="4" t="s">
        <v>86</v>
      </c>
      <c r="X36" s="4">
        <f>+K39/M35*1000</f>
        <v>62.14101823075913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1510.0128809516825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1283.5109488089302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370.91041666666666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1.6*6*C13-1.6*C21*C22*C20/12*0.15</f>
        <v>2244.7200000000003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0.28898110842830232</v>
      </c>
    </row>
    <row r="41" spans="1:25" x14ac:dyDescent="0.25">
      <c r="A41" s="45"/>
      <c r="B41" s="46" t="s">
        <v>433</v>
      </c>
      <c r="C41" s="58">
        <f>+(C40/4)^0.5</f>
        <v>23.689238062884169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24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1.6*C13*(3*(C17*12/2+C11-C42/4))-1.6*(C22/2-C42/12/4)*C21*C20/12*0.15*(C22/2-C42/12/4)*12/2</f>
        <v>16866.18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1775.3873684210528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37.094999999999999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0.91430860179193019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8.6859317170233368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11.581242289364448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13.372734637649847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14.0961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14.0961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9.8495999999999988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11.581242289364448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109"/>
      <c r="B57" s="76" t="s">
        <v>45</v>
      </c>
      <c r="C57" s="57">
        <f>+C21/C22</f>
        <v>1.4615384615384615</v>
      </c>
      <c r="D57" s="48"/>
      <c r="E57" s="49"/>
      <c r="F57" s="49"/>
      <c r="G57" s="49"/>
      <c r="H57" s="49"/>
      <c r="I57" s="50"/>
    </row>
    <row r="58" spans="1:9" ht="18" x14ac:dyDescent="0.35">
      <c r="A58" s="109"/>
      <c r="B58" s="76" t="s">
        <v>47</v>
      </c>
      <c r="C58" s="55">
        <f>2/(C57+1)</f>
        <v>0.8125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10.314543913965212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11.581242289364448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18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16.867589039338135</v>
      </c>
      <c r="D63" s="48" t="s">
        <v>0</v>
      </c>
      <c r="E63" s="49" t="str">
        <f>+IF(C63&gt;C61,"NG; insufficient length available to develop hook","OK; sufficient length available to develop hook")</f>
        <v>OK; 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9.142619233073523</v>
      </c>
      <c r="D64" s="48"/>
      <c r="E64" s="49"/>
      <c r="F64" s="49"/>
      <c r="G64" s="49"/>
      <c r="H64" s="49"/>
      <c r="I64" s="50"/>
    </row>
    <row r="65" spans="1:9" x14ac:dyDescent="0.25">
      <c r="A65" s="45"/>
      <c r="B65" s="46" t="s">
        <v>442</v>
      </c>
      <c r="C65" s="56">
        <v>13</v>
      </c>
      <c r="D65" s="48"/>
      <c r="E65" s="49"/>
      <c r="F65" s="49"/>
      <c r="G65" s="49"/>
      <c r="H65" s="49"/>
      <c r="I65" s="50"/>
    </row>
    <row r="66" spans="1:9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9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9" ht="18" x14ac:dyDescent="0.35">
      <c r="A68" s="45"/>
      <c r="B68" s="46" t="s">
        <v>26</v>
      </c>
      <c r="C68" s="69">
        <f>1.6*C13*(2*(C17*12+C11-C42/4))-1.6*(C21/2-C42/12/4)*C22*C20/12*0.15*(C21/2-C42/12/4)*12/2</f>
        <v>24667.74</v>
      </c>
      <c r="D68" s="48" t="s">
        <v>27</v>
      </c>
      <c r="E68" s="49" t="s">
        <v>118</v>
      </c>
      <c r="F68" s="49"/>
      <c r="G68" s="49"/>
      <c r="H68" s="49"/>
      <c r="I68" s="50"/>
    </row>
    <row r="69" spans="1:9" ht="18" x14ac:dyDescent="0.35">
      <c r="A69" s="45"/>
      <c r="B69" s="46" t="s">
        <v>26</v>
      </c>
      <c r="C69" s="79">
        <f>+C68/C22</f>
        <v>3795.0369230769234</v>
      </c>
      <c r="D69" s="48" t="s">
        <v>28</v>
      </c>
      <c r="E69" s="49" t="s">
        <v>29</v>
      </c>
      <c r="F69" s="49"/>
      <c r="G69" s="49"/>
      <c r="H69" s="49"/>
      <c r="I69" s="50"/>
    </row>
    <row r="70" spans="1:9" x14ac:dyDescent="0.25">
      <c r="A70" s="45"/>
      <c r="B70" s="46" t="s">
        <v>1</v>
      </c>
      <c r="C70" s="55">
        <f>+C20-C14-C15-P21/2</f>
        <v>38.365000000000002</v>
      </c>
      <c r="D70" s="48" t="s">
        <v>0</v>
      </c>
      <c r="E70" s="49"/>
      <c r="F70" s="49"/>
      <c r="G70" s="49"/>
      <c r="H70" s="49"/>
      <c r="I70" s="50"/>
    </row>
    <row r="71" spans="1:9" ht="18" x14ac:dyDescent="0.35">
      <c r="A71" s="45"/>
      <c r="B71" s="46" t="s">
        <v>40</v>
      </c>
      <c r="C71" s="58">
        <f>IF(C9=3,0.51*C70-(0.26*C70^2-0.0189*C69)^0.5,0.68*C70-(0.462*C70^2-0.0252*C69)^0.5)</f>
        <v>1.9144435792766927</v>
      </c>
      <c r="D71" s="48" t="s">
        <v>435</v>
      </c>
      <c r="E71" s="49"/>
      <c r="F71" s="49"/>
      <c r="G71" s="49"/>
      <c r="H71" s="49"/>
      <c r="I71" s="50"/>
    </row>
    <row r="72" spans="1:9" ht="18" x14ac:dyDescent="0.35">
      <c r="A72" s="45"/>
      <c r="B72" s="46" t="s">
        <v>39</v>
      </c>
      <c r="C72" s="58">
        <f>+C71*C22</f>
        <v>12.443883265298503</v>
      </c>
      <c r="D72" s="48" t="s">
        <v>436</v>
      </c>
      <c r="E72" s="49"/>
      <c r="F72" s="49"/>
      <c r="G72" s="49"/>
      <c r="H72" s="49"/>
      <c r="I72" s="50"/>
    </row>
    <row r="73" spans="1:9" ht="18" x14ac:dyDescent="0.35">
      <c r="A73" s="45"/>
      <c r="B73" s="46" t="s">
        <v>43</v>
      </c>
      <c r="C73" s="58">
        <f>+C72*4/3</f>
        <v>16.591844353731336</v>
      </c>
      <c r="D73" s="48" t="s">
        <v>436</v>
      </c>
      <c r="E73" s="49"/>
      <c r="F73" s="49"/>
      <c r="G73" s="49"/>
      <c r="H73" s="49"/>
      <c r="I73" s="50"/>
    </row>
    <row r="74" spans="1:9" ht="18.75" x14ac:dyDescent="0.35">
      <c r="A74" s="45"/>
      <c r="B74" s="46" t="s">
        <v>437</v>
      </c>
      <c r="C74" s="58">
        <f>3*(C9*1000)^0.5*C22*12*C70/C10/1000</f>
        <v>9.4630210297240698</v>
      </c>
      <c r="D74" s="48" t="s">
        <v>436</v>
      </c>
      <c r="E74" s="49"/>
      <c r="F74" s="49"/>
      <c r="G74" s="49"/>
      <c r="H74" s="49"/>
      <c r="I74" s="50"/>
    </row>
    <row r="75" spans="1:9" ht="18" x14ac:dyDescent="0.35">
      <c r="A75" s="45"/>
      <c r="B75" s="46" t="s">
        <v>438</v>
      </c>
      <c r="C75" s="58">
        <f>200*C22*12*C70/C10/1000</f>
        <v>9.9748999999999999</v>
      </c>
      <c r="D75" s="48" t="s">
        <v>436</v>
      </c>
      <c r="E75" s="49"/>
      <c r="F75" s="49"/>
      <c r="G75" s="49"/>
      <c r="H75" s="49"/>
      <c r="I75" s="50"/>
    </row>
    <row r="76" spans="1:9" ht="18" x14ac:dyDescent="0.35">
      <c r="A76" s="45"/>
      <c r="B76" s="46" t="s">
        <v>44</v>
      </c>
      <c r="C76" s="58">
        <f>+MAX(C74:C75)</f>
        <v>9.9748999999999999</v>
      </c>
      <c r="D76" s="48" t="s">
        <v>436</v>
      </c>
      <c r="E76" s="49"/>
      <c r="F76" s="49"/>
      <c r="G76" s="49"/>
      <c r="H76" s="49"/>
      <c r="I76" s="50"/>
    </row>
    <row r="77" spans="1:9" ht="18" x14ac:dyDescent="0.35">
      <c r="A77" s="45"/>
      <c r="B77" s="46" t="s">
        <v>439</v>
      </c>
      <c r="C77" s="58">
        <f>+IF(C10=60,0.0018*C22*12*C20,0.002*C22*12*C20)</f>
        <v>6.7392000000000003</v>
      </c>
      <c r="D77" s="48" t="s">
        <v>436</v>
      </c>
      <c r="E77" s="49"/>
      <c r="F77" s="49"/>
      <c r="G77" s="49"/>
      <c r="H77" s="49"/>
      <c r="I77" s="50"/>
    </row>
    <row r="78" spans="1:9" ht="18" x14ac:dyDescent="0.35">
      <c r="A78" s="45"/>
      <c r="B78" s="46" t="s">
        <v>41</v>
      </c>
      <c r="C78" s="58">
        <f>+IF(C72&gt;C76,C72,IF(C73&gt;C76,C76,IF(C73&gt;C77,C73,C77)))</f>
        <v>12.443883265298503</v>
      </c>
      <c r="D78" s="48" t="s">
        <v>436</v>
      </c>
      <c r="E78" s="49"/>
      <c r="F78" s="49"/>
      <c r="G78" s="49"/>
      <c r="H78" s="49"/>
      <c r="I78" s="50"/>
    </row>
    <row r="79" spans="1:9" x14ac:dyDescent="0.25">
      <c r="A79" s="45"/>
      <c r="B79" s="46" t="s">
        <v>440</v>
      </c>
      <c r="C79" s="55">
        <f>+C18-C11</f>
        <v>18</v>
      </c>
      <c r="D79" s="48" t="s">
        <v>0</v>
      </c>
      <c r="E79" s="49" t="s">
        <v>52</v>
      </c>
      <c r="F79" s="49"/>
      <c r="G79" s="49"/>
      <c r="H79" s="49"/>
      <c r="I79" s="50"/>
    </row>
    <row r="80" spans="1:9" ht="18" x14ac:dyDescent="0.35">
      <c r="A80" s="45"/>
      <c r="B80" s="46" t="s">
        <v>51</v>
      </c>
      <c r="C80" s="55">
        <v>1</v>
      </c>
      <c r="D80" s="48"/>
      <c r="E80" s="49" t="s">
        <v>50</v>
      </c>
      <c r="F80" s="49"/>
      <c r="G80" s="49"/>
      <c r="H80" s="49"/>
      <c r="I80" s="50"/>
    </row>
    <row r="81" spans="1:17" ht="18" x14ac:dyDescent="0.35">
      <c r="A81" s="45"/>
      <c r="B81" s="46" t="s">
        <v>48</v>
      </c>
      <c r="C81" s="58">
        <f>0.02*C62*C10*1000/(C9*1000)^0.5*P21*0.7</f>
        <v>16.867589039338135</v>
      </c>
      <c r="D81" s="48" t="s">
        <v>0</v>
      </c>
      <c r="E81" s="49" t="str">
        <f>+IF(C81&gt;C79,"NG; insufficient length available to develop hook","OK; sufficient length available to develop hook")</f>
        <v>OK; sufficient length available to develop hook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9.8236168135364395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15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38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31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19</v>
      </c>
      <c r="C87" s="48" t="s">
        <v>0</v>
      </c>
      <c r="D87" s="49"/>
      <c r="E87" s="49"/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+C17*12/2+C11</f>
        <v>21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+IF(M86&gt;O88,0,IF(M86&gt;O87,4,6))</f>
        <v>4</v>
      </c>
      <c r="F88" s="49"/>
      <c r="G88" s="49"/>
      <c r="H88" s="49"/>
      <c r="I88" s="50"/>
      <c r="J88" s="4" t="s">
        <v>57</v>
      </c>
      <c r="K88" s="64"/>
      <c r="L88" s="64"/>
      <c r="M88" s="64"/>
      <c r="N88" s="64"/>
      <c r="O88" s="64">
        <f>+C17*12+C11</f>
        <v>39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252.98221281347034</v>
      </c>
      <c r="C89" s="48" t="s">
        <v>5</v>
      </c>
      <c r="D89" s="49"/>
      <c r="E89" s="49"/>
      <c r="F89" s="49"/>
      <c r="G89" s="49"/>
      <c r="H89" s="49"/>
      <c r="I89" s="50"/>
    </row>
    <row r="90" spans="1:17" ht="18" x14ac:dyDescent="0.35">
      <c r="A90" s="68" t="s">
        <v>11</v>
      </c>
      <c r="B90" s="55">
        <f>4*(B86+C42)</f>
        <v>248</v>
      </c>
      <c r="C90" s="48" t="s">
        <v>0</v>
      </c>
      <c r="D90" s="49"/>
      <c r="E90" s="49"/>
      <c r="F90" s="49"/>
      <c r="G90" s="49"/>
      <c r="H90" s="49"/>
      <c r="I90" s="50"/>
    </row>
    <row r="91" spans="1:17" ht="18.75" x14ac:dyDescent="0.35">
      <c r="A91" s="68" t="s">
        <v>7</v>
      </c>
      <c r="B91" s="79">
        <f>+B89*B90*B86/1000</f>
        <v>2384.1043735541443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252.98221281347034</v>
      </c>
      <c r="P91" s="4" t="s">
        <v>5</v>
      </c>
    </row>
    <row r="92" spans="1:17" ht="18" x14ac:dyDescent="0.35">
      <c r="A92" s="68" t="s">
        <v>12</v>
      </c>
      <c r="B92" s="79">
        <f>+B91*0.85</f>
        <v>2026.4887175210226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1502.3466666666668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0.74135456747297757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38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50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+IF(M98&gt;O99,0,2)</f>
        <v>0</v>
      </c>
      <c r="F99" s="49"/>
      <c r="G99" s="49"/>
      <c r="H99" s="49"/>
      <c r="I99" s="50"/>
      <c r="J99" s="4" t="s">
        <v>60</v>
      </c>
      <c r="K99" s="64"/>
      <c r="L99" s="64"/>
      <c r="M99" s="64"/>
      <c r="N99" s="64"/>
      <c r="O99" s="64">
        <f>C17*12+C11</f>
        <v>39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126.49110640673517</v>
      </c>
      <c r="C100" s="48" t="s">
        <v>5</v>
      </c>
      <c r="D100" s="49"/>
      <c r="E100" s="49"/>
      <c r="F100" s="49"/>
      <c r="G100" s="49"/>
      <c r="H100" s="49"/>
      <c r="I100" s="50"/>
    </row>
    <row r="101" spans="1:17" x14ac:dyDescent="0.25">
      <c r="A101" s="68" t="s">
        <v>62</v>
      </c>
      <c r="B101" s="79">
        <f>+C22*12*B98</f>
        <v>2964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126.49110640673517</v>
      </c>
      <c r="P101" s="4" t="s">
        <v>5</v>
      </c>
    </row>
    <row r="102" spans="1:17" ht="18.75" x14ac:dyDescent="0.35">
      <c r="A102" s="68" t="s">
        <v>7</v>
      </c>
      <c r="B102" s="79">
        <f>+B100*B101/1000</f>
        <v>374.91963938956309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318.6816934811286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-3.6399999999999979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-1.1422055532083922E-2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38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50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+IF(M109&gt;O110,0,2)</f>
        <v>0</v>
      </c>
      <c r="F110" s="49"/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C17*12/2+C11</f>
        <v>21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126.49110640673517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+C21*12*B109</f>
        <v>4332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126.49110640673517</v>
      </c>
      <c r="P112" s="4" t="s">
        <v>5</v>
      </c>
    </row>
    <row r="113" spans="1:23" ht="18.75" x14ac:dyDescent="0.35">
      <c r="A113" s="68" t="s">
        <v>7</v>
      </c>
      <c r="B113" s="79">
        <f>+B111*B112/1000</f>
        <v>547.95947295397673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465.76555201088019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8.360000000000003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1.7948944407560469E-2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18</v>
      </c>
      <c r="W126" s="4" t="s">
        <v>0</v>
      </c>
    </row>
    <row r="127" spans="1:23" ht="18" x14ac:dyDescent="0.35">
      <c r="A127" s="68" t="s">
        <v>1</v>
      </c>
      <c r="B127" s="53">
        <f>+B86</f>
        <v>38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2248.56</v>
      </c>
      <c r="W127" s="49" t="s">
        <v>8</v>
      </c>
    </row>
    <row r="128" spans="1:23" ht="18.75" x14ac:dyDescent="0.35">
      <c r="A128" s="68" t="s">
        <v>54</v>
      </c>
      <c r="B128" s="54">
        <f>+B127/2</f>
        <v>19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OK</v>
      </c>
      <c r="U128" s="49" t="s">
        <v>3</v>
      </c>
      <c r="V128" s="49">
        <f>+B132</f>
        <v>252.98221281347034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6</v>
      </c>
      <c r="G129" s="49"/>
      <c r="H129" s="49"/>
      <c r="I129" s="50"/>
      <c r="U129" s="49" t="s">
        <v>4</v>
      </c>
      <c r="V129" s="49">
        <f>+V128*8</f>
        <v>2023.8577025077627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9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+C17*12-C42/2+C11</f>
        <v>27</v>
      </c>
      <c r="S130" s="4" t="s">
        <v>0</v>
      </c>
      <c r="U130" s="49" t="s">
        <v>11</v>
      </c>
      <c r="V130" s="49">
        <f>+B134</f>
        <v>248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2248.56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</f>
        <v>2248.56</v>
      </c>
      <c r="S131" s="49" t="s">
        <v>8</v>
      </c>
      <c r="T131" s="49"/>
      <c r="U131" s="49" t="s">
        <v>2</v>
      </c>
      <c r="V131" s="49">
        <f>+B135</f>
        <v>96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252.98221281347034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252.98221281347034</v>
      </c>
      <c r="S132" s="49" t="s">
        <v>5</v>
      </c>
      <c r="T132" s="49"/>
      <c r="U132" s="49" t="s">
        <v>6</v>
      </c>
      <c r="V132" s="49">
        <f>IF(2*B127/V126*(1+B127/C42)&lt;32,2*B127/V126*(1+B127/C42),32)</f>
        <v>10.907407407407407</v>
      </c>
      <c r="W132" s="49"/>
    </row>
    <row r="133" spans="1:23" ht="18.75" x14ac:dyDescent="0.35">
      <c r="A133" s="68" t="s">
        <v>4</v>
      </c>
      <c r="B133" s="79">
        <f>+B132*8</f>
        <v>2023.8577025077627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2023.8577025077627</v>
      </c>
      <c r="S133" s="49" t="s">
        <v>5</v>
      </c>
      <c r="T133" s="49"/>
      <c r="U133" s="45" t="s">
        <v>7</v>
      </c>
      <c r="V133" s="49">
        <f>+V132*(C9*1000)^0.5*V131*B127/1000</f>
        <v>2516.5546165293745</v>
      </c>
      <c r="W133" s="49" t="s">
        <v>8</v>
      </c>
    </row>
    <row r="134" spans="1:23" ht="18" x14ac:dyDescent="0.35">
      <c r="A134" s="68" t="s">
        <v>11</v>
      </c>
      <c r="B134" s="58">
        <f>4*(B127+C42)</f>
        <v>248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248</v>
      </c>
      <c r="S134" s="49" t="s">
        <v>0</v>
      </c>
      <c r="T134" s="49"/>
      <c r="U134" s="45" t="s">
        <v>12</v>
      </c>
      <c r="V134" s="49">
        <f>+V133*0.85</f>
        <v>2139.0714240499683</v>
      </c>
      <c r="W134" s="49" t="s">
        <v>8</v>
      </c>
    </row>
    <row r="135" spans="1:23" ht="18" x14ac:dyDescent="0.35">
      <c r="A135" s="68" t="s">
        <v>2</v>
      </c>
      <c r="B135" s="58">
        <f>4*C42</f>
        <v>96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1379.6900309919818</v>
      </c>
      <c r="P135" s="4" t="s">
        <v>5</v>
      </c>
      <c r="Q135" s="49" t="s">
        <v>2</v>
      </c>
      <c r="R135" s="49">
        <f>+B135</f>
        <v>96</v>
      </c>
      <c r="S135" s="49" t="s">
        <v>0</v>
      </c>
      <c r="T135" s="49"/>
      <c r="U135" s="45" t="s">
        <v>14</v>
      </c>
      <c r="V135" s="49">
        <f>+V127/V134</f>
        <v>1.0511850958874172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21.814814814814813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7.2716049382716044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5033.1092330587489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K137" s="4">
        <f>+(R136+B136)/2</f>
        <v>14.543209876543209</v>
      </c>
      <c r="Q137" s="49" t="s">
        <v>7</v>
      </c>
      <c r="R137" s="49">
        <f>+R136*(C9*1000)^0.5*R135*B127/1000</f>
        <v>1677.7030776862498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4278.1428480999366</v>
      </c>
      <c r="C138" s="48" t="s">
        <v>18</v>
      </c>
      <c r="D138" s="49"/>
      <c r="E138" s="49"/>
      <c r="F138" s="49"/>
      <c r="G138" s="49"/>
      <c r="H138" s="49"/>
      <c r="I138" s="50"/>
      <c r="K138" s="4">
        <f>+K137*(C9*1000)^0.5*R135*B127/1000</f>
        <v>3355.4061553724996</v>
      </c>
      <c r="Q138" s="49" t="s">
        <v>12</v>
      </c>
      <c r="R138" s="49">
        <f>+R137*0.85</f>
        <v>1426.0476160333124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0.52559254794370858</v>
      </c>
      <c r="C139" s="48"/>
      <c r="D139" s="110" t="s">
        <v>235</v>
      </c>
      <c r="F139" s="4" t="s">
        <v>14</v>
      </c>
      <c r="G139" s="88">
        <f>+(B139+R139)/2</f>
        <v>1.0511850958874172</v>
      </c>
      <c r="H139" s="49"/>
      <c r="I139" s="50"/>
      <c r="K139" s="4">
        <f>+R131/K138</f>
        <v>0.67013049862822838</v>
      </c>
      <c r="Q139" s="49" t="s">
        <v>14</v>
      </c>
      <c r="R139" s="49">
        <f>+R131/R138</f>
        <v>1.5767776438311256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38.365000000000002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+C17*12-C42/2+C11</f>
        <v>27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0.70376645379903557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2*1.6*C13-1.6*0.15*C21*C22*C20/12*((C21/2-C42/2/12)/C21)</f>
        <v>744.6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1.6*C13*(2*B144)-1.6*0.15*C21*C22*C20/12*((C21/2-C42/2/12)/C21)*(C21/2-C42/2/12)*12/2</f>
        <v>20209.5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1.4135223038669933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317.62077887102055</v>
      </c>
      <c r="P148" s="4" t="s">
        <v>5</v>
      </c>
    </row>
    <row r="149" spans="1:16" ht="18" x14ac:dyDescent="0.35">
      <c r="A149" s="68" t="s">
        <v>447</v>
      </c>
      <c r="B149" s="58">
        <f>1/B148</f>
        <v>0.7074525794635752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5.0220254671455455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807.90005432593853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0.92164865692606979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37.094999999999999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+C17*12/2-C42/2+C11</f>
        <v>9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0.24262029923170239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3*1.6*C13-1.6*0.15*C21*C22*C20/12*((C22/2-C42/2/12)/C22)</f>
        <v>1131.4800000000002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1.6*C13*(3*B157)-1.6*0.15*C21*C22*C20/12*((C22/2-C42/2/12)/C22)*(C22/2-C42/2/12)*12/2</f>
        <v>10090.98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4.1593829935249111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632.45553203367581</v>
      </c>
      <c r="P161" s="4" t="s">
        <v>5</v>
      </c>
    </row>
    <row r="162" spans="1:32" ht="18" x14ac:dyDescent="0.35">
      <c r="A162" s="68" t="s">
        <v>447</v>
      </c>
      <c r="B162" s="58">
        <f>1/B161</f>
        <v>0.24042027424662327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2273.3648884004742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0.49771156657394439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38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9.1481481481481488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19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50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5968.85</v>
      </c>
      <c r="U171" s="4" t="s">
        <v>35</v>
      </c>
    </row>
    <row r="172" spans="1:32" ht="18.75" x14ac:dyDescent="0.35">
      <c r="A172" s="45"/>
      <c r="B172" s="53">
        <f>+C65</f>
        <v>13</v>
      </c>
      <c r="C172" s="48" t="s">
        <v>71</v>
      </c>
      <c r="D172" s="83" t="str">
        <f>"#"&amp;+C23</f>
        <v>#10</v>
      </c>
      <c r="E172" s="49" t="s">
        <v>72</v>
      </c>
      <c r="F172" s="49" t="s">
        <v>73</v>
      </c>
      <c r="G172" s="57">
        <f>+C22-0.5</f>
        <v>6</v>
      </c>
      <c r="H172" s="48" t="s">
        <v>74</v>
      </c>
      <c r="I172" s="50"/>
      <c r="Q172" s="4" t="s">
        <v>3</v>
      </c>
      <c r="R172" s="4">
        <f>4*(C9*1000)^0.5</f>
        <v>252.98221281347034</v>
      </c>
      <c r="S172" s="4" t="s">
        <v>5</v>
      </c>
      <c r="AB172" s="4" t="s">
        <v>86</v>
      </c>
      <c r="AE172" s="4">
        <f>+R175/T171*1000</f>
        <v>62.14101823075913</v>
      </c>
      <c r="AF172" s="4" t="s">
        <v>5</v>
      </c>
    </row>
    <row r="173" spans="1:32" ht="18.75" x14ac:dyDescent="0.35">
      <c r="A173" s="45"/>
      <c r="B173" s="55">
        <f>+B172*2</f>
        <v>26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1.5565437500000003</v>
      </c>
      <c r="H173" s="48" t="s">
        <v>74</v>
      </c>
      <c r="I173" s="50"/>
      <c r="Q173" s="4" t="s">
        <v>7</v>
      </c>
      <c r="R173" s="4">
        <f>+R172*T171/1000</f>
        <v>1510.0128809516825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510.65430213402857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1283.5109488089302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370.91041666666666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15</v>
      </c>
      <c r="C176" s="48" t="s">
        <v>71</v>
      </c>
      <c r="D176" s="83" t="str">
        <f>"#"&amp;+C24</f>
        <v>#10</v>
      </c>
      <c r="E176" s="49" t="s">
        <v>72</v>
      </c>
      <c r="F176" s="49" t="s">
        <v>73</v>
      </c>
      <c r="G176" s="57">
        <f>+C21-0.5</f>
        <v>9</v>
      </c>
      <c r="H176" s="48" t="s">
        <v>74</v>
      </c>
      <c r="I176" s="50"/>
      <c r="Q176" s="4" t="s">
        <v>14</v>
      </c>
      <c r="R176" s="4">
        <f>+R175/R174</f>
        <v>0.28898110842830232</v>
      </c>
    </row>
    <row r="177" spans="1:32" x14ac:dyDescent="0.25">
      <c r="A177" s="45"/>
      <c r="B177" s="55">
        <f>+B176*2</f>
        <v>30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1.5565437500000003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783.18473851702822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38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1293.8390406510568</v>
      </c>
      <c r="D180" s="48" t="s">
        <v>78</v>
      </c>
      <c r="E180" s="49" t="s">
        <v>79</v>
      </c>
      <c r="F180" s="88">
        <f>+C180/2000</f>
        <v>0.64691952032552846</v>
      </c>
      <c r="G180" s="48" t="s">
        <v>19</v>
      </c>
      <c r="H180" s="49"/>
      <c r="I180" s="50"/>
      <c r="Q180" s="4" t="s">
        <v>54</v>
      </c>
      <c r="T180" s="4">
        <f>+T179/2</f>
        <v>19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157.07500000000002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8704.85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252.98221281347034</v>
      </c>
      <c r="S184" s="4" t="s">
        <v>5</v>
      </c>
      <c r="AB184" s="4" t="s">
        <v>86</v>
      </c>
      <c r="AE184" s="4">
        <f>+R187/T183*1000</f>
        <v>85.344424851280223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2202.1722152093375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1871.8463829279369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742.91041666666672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0.39688642371635663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38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19</v>
      </c>
      <c r="U192" s="4" t="s">
        <v>0</v>
      </c>
      <c r="W192" s="64"/>
    </row>
    <row r="193" spans="1:54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81.268750000000011</v>
      </c>
      <c r="U193" s="4" t="s">
        <v>0</v>
      </c>
      <c r="V193" s="64"/>
      <c r="W193" s="64"/>
    </row>
    <row r="194" spans="1:54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3088.2125000000005</v>
      </c>
      <c r="U194" s="4" t="s">
        <v>35</v>
      </c>
    </row>
    <row r="195" spans="1:54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252.98221281347034</v>
      </c>
      <c r="S195" s="4" t="s">
        <v>5</v>
      </c>
      <c r="AB195" s="4" t="s">
        <v>86</v>
      </c>
      <c r="AE195" s="4">
        <f>+R198/T194*1000</f>
        <v>120.06544373700534</v>
      </c>
      <c r="AF195" s="4" t="s">
        <v>5</v>
      </c>
    </row>
    <row r="196" spans="1:54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781.26283188821947</v>
      </c>
      <c r="S196" s="4" t="s">
        <v>8</v>
      </c>
      <c r="T196" s="4" t="s">
        <v>87</v>
      </c>
    </row>
    <row r="197" spans="1:54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664.07340710498647</v>
      </c>
      <c r="S197" s="4" t="s">
        <v>8</v>
      </c>
    </row>
    <row r="198" spans="1:54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370.78760416666665</v>
      </c>
      <c r="S198" s="4" t="s">
        <v>8</v>
      </c>
      <c r="T198" s="4" t="s">
        <v>350</v>
      </c>
    </row>
    <row r="199" spans="1:54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0.55835333895255213</v>
      </c>
      <c r="T199" s="4" t="s">
        <v>146</v>
      </c>
      <c r="V199" s="4">
        <f>+(C18*C18+C18*T170+3.1415*T170^2/4/4)/144</f>
        <v>13.762912326388889</v>
      </c>
      <c r="W199" s="4" t="s">
        <v>147</v>
      </c>
    </row>
    <row r="200" spans="1:54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4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4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38</v>
      </c>
      <c r="U202" s="4" t="s">
        <v>0</v>
      </c>
      <c r="V202" s="4" t="s">
        <v>53</v>
      </c>
      <c r="W202" s="64"/>
    </row>
    <row r="203" spans="1:54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4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97.3964</v>
      </c>
      <c r="U204" s="4" t="s">
        <v>0</v>
      </c>
      <c r="V204" s="64"/>
      <c r="W204" s="64"/>
    </row>
    <row r="205" spans="1:54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3701.0632000000001</v>
      </c>
      <c r="U205" s="4" t="s">
        <v>35</v>
      </c>
    </row>
    <row r="206" spans="1:54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126.49110640673517</v>
      </c>
      <c r="S206" s="4" t="s">
        <v>5</v>
      </c>
      <c r="AB206" s="4" t="s">
        <v>86</v>
      </c>
      <c r="AE206" s="4">
        <f>+R209/T205*1000</f>
        <v>99.482279943074417</v>
      </c>
      <c r="AF206" s="4" t="s">
        <v>5</v>
      </c>
    </row>
    <row r="207" spans="1:54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468.15157904925178</v>
      </c>
      <c r="S207" s="4" t="s">
        <v>8</v>
      </c>
      <c r="T207" s="4" t="s">
        <v>93</v>
      </c>
    </row>
    <row r="208" spans="1:54" ht="18" x14ac:dyDescent="0.35"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397.92884219186402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</row>
    <row r="209" spans="1:54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368.1902053494108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</row>
    <row r="210" spans="1:54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0.92526644543117953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</row>
    <row r="211" spans="1:54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</row>
    <row r="212" spans="1:54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</row>
    <row r="213" spans="1:54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</row>
    <row r="214" spans="1:54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4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4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4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4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570312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226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400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800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20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5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36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77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24.899797500000005</v>
      </c>
    </row>
    <row r="20" spans="1:17" ht="18" x14ac:dyDescent="0.35">
      <c r="A20" s="45"/>
      <c r="B20" s="46" t="s">
        <v>425</v>
      </c>
      <c r="C20" s="56">
        <v>84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24.899797500000005</v>
      </c>
    </row>
    <row r="21" spans="1:17" x14ac:dyDescent="0.25">
      <c r="A21" s="45"/>
      <c r="B21" s="46" t="s">
        <v>426</v>
      </c>
      <c r="C21" s="53">
        <f>2*C18/12+2*C17</f>
        <v>16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1.6930000000000001</v>
      </c>
      <c r="M21" s="4" t="s">
        <v>20</v>
      </c>
      <c r="N21" s="4" t="s">
        <v>37</v>
      </c>
      <c r="P21" s="4">
        <f>+IF(C24&lt;9,(C24/8),IF(C24=9,1.128,IF(C24=10,1.27,IF(C24=11,1.41,IF(C24=14,1.693,0)))))</f>
        <v>1.6930000000000001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2*C18/12+2*C17*0.8661</f>
        <v>14.661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2.2510803083750002</v>
      </c>
      <c r="M22" s="4" t="s">
        <v>35</v>
      </c>
      <c r="N22" s="4" t="s">
        <v>38</v>
      </c>
      <c r="P22" s="4">
        <f>3.1415*P21^2/4</f>
        <v>2.2510803083750002</v>
      </c>
      <c r="Q22" s="4" t="s">
        <v>35</v>
      </c>
    </row>
    <row r="23" spans="1:17" x14ac:dyDescent="0.25">
      <c r="A23" s="45"/>
      <c r="B23" s="46" t="s">
        <v>428</v>
      </c>
      <c r="C23" s="47">
        <v>14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14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72.460499999999996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74.153499999999994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74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22.567916137102415</v>
      </c>
    </row>
    <row r="28" spans="1:17" x14ac:dyDescent="0.25">
      <c r="A28" s="59" t="str">
        <f>+IF(C12&gt;200,"High capacity pile selected - special details required - see CRSI Pile Cap Design Guide", "")</f>
        <v>High capacity pile selected - special details required - see CRSI Pile Cap Design Guide</v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20</v>
      </c>
    </row>
    <row r="30" spans="1:17" x14ac:dyDescent="0.25">
      <c r="A30" s="45" t="s">
        <v>123</v>
      </c>
      <c r="B30" s="49"/>
      <c r="C30" s="49"/>
      <c r="D30" s="49"/>
      <c r="E30" s="62" t="str">
        <f>+IF(C63&gt;C61,"NG; select smaller bar size","OK")</f>
        <v>OK</v>
      </c>
      <c r="F30" s="49"/>
      <c r="G30" s="49"/>
      <c r="H30" s="49"/>
      <c r="I30" s="50"/>
    </row>
    <row r="31" spans="1:17" ht="18.75" x14ac:dyDescent="0.3">
      <c r="A31" s="45" t="s">
        <v>124</v>
      </c>
      <c r="B31" s="49"/>
      <c r="C31" s="49"/>
      <c r="D31" s="49"/>
      <c r="E31" s="62" t="str">
        <f>+IF(C81&gt;C79,"NG; select smaller bar size","OK")</f>
        <v>OK</v>
      </c>
      <c r="F31" s="49"/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74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37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94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+IF(B130&gt;B128,"NA",IF(B139&lt;1,"OK","NG"))</f>
        <v>NG</v>
      </c>
      <c r="D35" s="49"/>
      <c r="E35" s="49"/>
      <c r="F35" s="49"/>
      <c r="G35" s="46" t="s">
        <v>345</v>
      </c>
      <c r="H35" s="62" t="s">
        <v>229</v>
      </c>
      <c r="I35" s="50"/>
      <c r="J35" s="4" t="s">
        <v>85</v>
      </c>
      <c r="K35" s="64"/>
      <c r="L35" s="64"/>
      <c r="M35" s="64">
        <f>+M34*3.1415*M32</f>
        <v>21852.274000000005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">
        <v>229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54.870184639212674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4787.5933610334605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4069.4543568784411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1199.0383091666667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1.6*7*C13-1.6*C21*C22*C20/12*0.15</f>
        <v>8565.9123199999995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0.2946435084448063</v>
      </c>
    </row>
    <row r="41" spans="1:25" x14ac:dyDescent="0.25">
      <c r="A41" s="45"/>
      <c r="B41" s="46" t="s">
        <v>433</v>
      </c>
      <c r="C41" s="58">
        <f>+(C40/3.14159)^0.5</f>
        <v>52.217017137273182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53</v>
      </c>
      <c r="D42" s="48" t="s">
        <v>0</v>
      </c>
      <c r="E42" s="110" t="s">
        <v>227</v>
      </c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1.6*C13*(2*(0.8661*C17*12+C11-C42/4))-1.6*(C22/2-C42/12/4)*C21*C20/12*0.15*(C22/2-C42/12/4)*12/2</f>
        <v>100540.58166528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6283.7863540799999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72.460499999999996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1.6508510688183691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26.413617101093905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35.218156134791876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38.100720362978969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46.374719999999996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46.374719999999996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29.0304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35.218156134791876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109"/>
      <c r="B57" s="76" t="s">
        <v>45</v>
      </c>
      <c r="C57" s="57">
        <f>+C21/C22</f>
        <v>1.0913307414228224</v>
      </c>
      <c r="D57" s="48"/>
      <c r="E57" s="49"/>
      <c r="F57" s="49"/>
      <c r="G57" s="49"/>
      <c r="H57" s="49"/>
      <c r="I57" s="50"/>
    </row>
    <row r="58" spans="1:9" ht="18" x14ac:dyDescent="0.35">
      <c r="A58" s="109"/>
      <c r="B58" s="76" t="s">
        <v>47</v>
      </c>
      <c r="C58" s="55">
        <f>2/(C57+1)</f>
        <v>0.95632888685952844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27.567129161964871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35.218156134791876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33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25.964240115974892</v>
      </c>
      <c r="D63" s="48" t="s">
        <v>0</v>
      </c>
      <c r="E63" s="49" t="str">
        <f>+IF(C63&gt;C61,"NG; insufficient length available to develop hook","OK; sufficient length available to develop hook")</f>
        <v>OK; 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15.645002092446449</v>
      </c>
      <c r="D64" s="48"/>
      <c r="E64" s="49"/>
      <c r="F64" s="49"/>
      <c r="G64" s="49"/>
      <c r="H64" s="49"/>
      <c r="I64" s="50"/>
    </row>
    <row r="65" spans="1:10" x14ac:dyDescent="0.25">
      <c r="A65" s="45"/>
      <c r="B65" s="46" t="s">
        <v>442</v>
      </c>
      <c r="C65" s="56">
        <v>11</v>
      </c>
      <c r="D65" s="48"/>
      <c r="E65" s="49"/>
      <c r="F65" s="49"/>
      <c r="G65" s="49"/>
      <c r="H65" s="49"/>
      <c r="I65" s="50"/>
    </row>
    <row r="66" spans="1:10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10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10" ht="18" x14ac:dyDescent="0.35">
      <c r="A68" s="45"/>
      <c r="B68" s="46" t="s">
        <v>26</v>
      </c>
      <c r="C68" s="69">
        <f>1.6*C13*(2*(0.5*C17*12+C11-C42/4))+1.6*C13*(1*(1*C17*12+C11-C42/4))-1.6*(C21/2-C42/12/4)*C22*C20/12*0.15*(C21/2-C42/12/4)*12/2</f>
        <v>107212.552033125</v>
      </c>
      <c r="D68" s="48" t="s">
        <v>27</v>
      </c>
      <c r="E68" s="49" t="s">
        <v>118</v>
      </c>
      <c r="F68" s="49"/>
      <c r="G68" s="49"/>
      <c r="H68" s="49"/>
      <c r="I68" s="50"/>
    </row>
    <row r="69" spans="1:10" ht="18" x14ac:dyDescent="0.35">
      <c r="A69" s="45"/>
      <c r="B69" s="46" t="s">
        <v>26</v>
      </c>
      <c r="C69" s="79">
        <f>+C68/C22</f>
        <v>7312.7721187589523</v>
      </c>
      <c r="D69" s="48" t="s">
        <v>28</v>
      </c>
      <c r="E69" s="49" t="s">
        <v>29</v>
      </c>
      <c r="F69" s="49"/>
      <c r="G69" s="49"/>
      <c r="H69" s="49"/>
      <c r="I69" s="50"/>
    </row>
    <row r="70" spans="1:10" x14ac:dyDescent="0.25">
      <c r="A70" s="45"/>
      <c r="B70" s="46" t="s">
        <v>1</v>
      </c>
      <c r="C70" s="55">
        <f>+C20-C14-C15-P21/2</f>
        <v>74.153499999999994</v>
      </c>
      <c r="D70" s="48" t="s">
        <v>0</v>
      </c>
      <c r="E70" s="49"/>
      <c r="F70" s="49"/>
      <c r="G70" s="49"/>
      <c r="H70" s="49"/>
      <c r="I70" s="50"/>
    </row>
    <row r="71" spans="1:10" ht="18" x14ac:dyDescent="0.35">
      <c r="A71" s="45"/>
      <c r="B71" s="46" t="s">
        <v>40</v>
      </c>
      <c r="C71" s="58">
        <f>IF(C9=3,0.51*C70-(0.26*C70^2-0.0189*C69)^0.5,0.68*C70-(0.462*C70^2-0.0252*C69)^0.5)</f>
        <v>1.8813762133436853</v>
      </c>
      <c r="D71" s="48" t="s">
        <v>435</v>
      </c>
      <c r="E71" s="49"/>
      <c r="F71" s="49"/>
      <c r="G71" s="49"/>
      <c r="H71" s="49"/>
      <c r="I71" s="50"/>
    </row>
    <row r="72" spans="1:10" ht="18" x14ac:dyDescent="0.35">
      <c r="A72" s="45"/>
      <c r="B72" s="46" t="s">
        <v>39</v>
      </c>
      <c r="C72" s="58">
        <f>+C71*C22</f>
        <v>27.58285666383177</v>
      </c>
      <c r="D72" s="48" t="s">
        <v>436</v>
      </c>
      <c r="E72" s="49"/>
      <c r="F72" s="49"/>
      <c r="G72" s="49"/>
      <c r="H72" s="49"/>
      <c r="I72" s="50"/>
    </row>
    <row r="73" spans="1:10" ht="18" x14ac:dyDescent="0.35">
      <c r="A73" s="45"/>
      <c r="B73" s="46" t="s">
        <v>43</v>
      </c>
      <c r="C73" s="58">
        <f>+C72*4/3</f>
        <v>36.777142218442357</v>
      </c>
      <c r="D73" s="48" t="s">
        <v>436</v>
      </c>
      <c r="E73" s="49"/>
      <c r="F73" s="49"/>
      <c r="G73" s="49"/>
      <c r="H73" s="49"/>
      <c r="I73" s="50"/>
    </row>
    <row r="74" spans="1:10" ht="18.75" x14ac:dyDescent="0.35">
      <c r="A74" s="45"/>
      <c r="B74" s="46" t="s">
        <v>437</v>
      </c>
      <c r="C74" s="58">
        <f>3*(C9*1000)^0.5*C22*12*C70/C10/1000</f>
        <v>35.727870022617097</v>
      </c>
      <c r="D74" s="48" t="s">
        <v>436</v>
      </c>
      <c r="E74" s="49"/>
      <c r="F74" s="49"/>
      <c r="G74" s="49"/>
      <c r="H74" s="49"/>
      <c r="I74" s="50"/>
    </row>
    <row r="75" spans="1:10" ht="18" x14ac:dyDescent="0.35">
      <c r="A75" s="45"/>
      <c r="B75" s="46" t="s">
        <v>438</v>
      </c>
      <c r="C75" s="58">
        <f>200*C22*12*C70/C10/1000</f>
        <v>43.486578539999989</v>
      </c>
      <c r="D75" s="48" t="s">
        <v>436</v>
      </c>
      <c r="E75" s="49"/>
      <c r="F75" s="49"/>
      <c r="G75" s="49"/>
      <c r="H75" s="49"/>
      <c r="I75" s="50"/>
    </row>
    <row r="76" spans="1:10" ht="18" x14ac:dyDescent="0.35">
      <c r="A76" s="45"/>
      <c r="B76" s="46" t="s">
        <v>44</v>
      </c>
      <c r="C76" s="58">
        <f>+MAX(C74:C75)</f>
        <v>43.486578539999989</v>
      </c>
      <c r="D76" s="48" t="s">
        <v>436</v>
      </c>
      <c r="E76" s="49"/>
      <c r="F76" s="49"/>
      <c r="G76" s="49"/>
      <c r="H76" s="49"/>
      <c r="I76" s="50"/>
    </row>
    <row r="77" spans="1:10" ht="18" x14ac:dyDescent="0.35">
      <c r="A77" s="45"/>
      <c r="B77" s="46" t="s">
        <v>439</v>
      </c>
      <c r="C77" s="58">
        <f>+IF(C10=60,0.0018*C22*12*C20,0.002*C22*12*C20)</f>
        <v>26.600918400000001</v>
      </c>
      <c r="D77" s="48" t="s">
        <v>436</v>
      </c>
      <c r="E77" s="49"/>
      <c r="F77" s="49"/>
      <c r="G77" s="49"/>
      <c r="H77" s="49"/>
      <c r="I77" s="50"/>
      <c r="J77" s="4" t="s">
        <v>230</v>
      </c>
    </row>
    <row r="78" spans="1:10" ht="18" x14ac:dyDescent="0.35">
      <c r="A78" s="45"/>
      <c r="B78" s="46" t="s">
        <v>41</v>
      </c>
      <c r="C78" s="58">
        <f>+IF(C72&gt;C76,C72,IF(C73&gt;C76,C76,IF(C73&gt;C77,C73,C77)))</f>
        <v>36.777142218442357</v>
      </c>
      <c r="D78" s="48" t="s">
        <v>436</v>
      </c>
      <c r="E78" s="49"/>
      <c r="F78" s="49"/>
      <c r="G78" s="49"/>
      <c r="H78" s="49"/>
      <c r="I78" s="50"/>
      <c r="J78" s="4" t="s">
        <v>231</v>
      </c>
    </row>
    <row r="79" spans="1:10" x14ac:dyDescent="0.25">
      <c r="A79" s="45"/>
      <c r="B79" s="46" t="s">
        <v>440</v>
      </c>
      <c r="C79" s="55">
        <f>+C18-C11</f>
        <v>33</v>
      </c>
      <c r="D79" s="48" t="s">
        <v>0</v>
      </c>
      <c r="E79" s="49" t="s">
        <v>52</v>
      </c>
      <c r="F79" s="49"/>
      <c r="G79" s="49"/>
      <c r="H79" s="49"/>
      <c r="I79" s="50"/>
    </row>
    <row r="80" spans="1:10" ht="18" x14ac:dyDescent="0.35">
      <c r="A80" s="45"/>
      <c r="B80" s="46" t="s">
        <v>51</v>
      </c>
      <c r="C80" s="55">
        <v>1</v>
      </c>
      <c r="D80" s="48"/>
      <c r="E80" s="49" t="s">
        <v>50</v>
      </c>
      <c r="F80" s="49"/>
      <c r="G80" s="49"/>
      <c r="H80" s="49"/>
      <c r="I80" s="50"/>
    </row>
    <row r="81" spans="1:17" ht="18" x14ac:dyDescent="0.35">
      <c r="A81" s="45"/>
      <c r="B81" s="46" t="s">
        <v>48</v>
      </c>
      <c r="C81" s="58">
        <f>0.02*C62*C10*1000/(C9*1000)^0.5*P21*0.7</f>
        <v>25.964240115974892</v>
      </c>
      <c r="D81" s="48" t="s">
        <v>0</v>
      </c>
      <c r="E81" s="49" t="str">
        <f>+IF(C81&gt;C79,"NG; insufficient length available to develop hook","OK; sufficient length available to develop hook")</f>
        <v>OK; sufficient length available to develop hook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16.337552277284534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11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74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63.5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37</v>
      </c>
      <c r="C87" s="48" t="s">
        <v>0</v>
      </c>
      <c r="D87" s="49"/>
      <c r="E87" s="49"/>
      <c r="F87" s="49"/>
      <c r="G87" s="80"/>
      <c r="H87" s="49"/>
      <c r="I87" s="50"/>
      <c r="J87" s="4" t="s">
        <v>228</v>
      </c>
      <c r="K87" s="64"/>
      <c r="L87" s="64"/>
      <c r="M87" s="64"/>
      <c r="N87" s="64"/>
      <c r="O87" s="64">
        <f>+C17*12+C11</f>
        <v>63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+IF(M86&gt;O87,0,6)</f>
        <v>0</v>
      </c>
      <c r="F88" s="49"/>
      <c r="G88" s="49"/>
      <c r="H88" s="49"/>
      <c r="I88" s="50"/>
      <c r="K88" s="64"/>
      <c r="L88" s="64"/>
      <c r="M88" s="64"/>
      <c r="N88" s="64"/>
      <c r="O88" s="64"/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</row>
    <row r="90" spans="1:17" ht="18" x14ac:dyDescent="0.35">
      <c r="A90" s="68" t="s">
        <v>11</v>
      </c>
      <c r="B90" s="55">
        <f>3.14159*(B86+C42)</f>
        <v>398.98192999999998</v>
      </c>
      <c r="C90" s="48" t="s">
        <v>0</v>
      </c>
      <c r="D90" s="49"/>
      <c r="E90" s="49"/>
      <c r="F90" s="49"/>
      <c r="G90" s="49"/>
      <c r="H90" s="49"/>
      <c r="I90" s="50"/>
    </row>
    <row r="91" spans="1:17" ht="18.75" x14ac:dyDescent="0.35">
      <c r="A91" s="68" t="s">
        <v>7</v>
      </c>
      <c r="B91" s="79">
        <f>+B89*B90*B86/1000</f>
        <v>6468.5295316992351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219.08902300206645</v>
      </c>
      <c r="P91" s="4" t="s">
        <v>5</v>
      </c>
    </row>
    <row r="92" spans="1:17" ht="18" x14ac:dyDescent="0.35">
      <c r="A92" s="68" t="s">
        <v>12</v>
      </c>
      <c r="B92" s="79">
        <f>+B91*0.85</f>
        <v>5498.2501019443498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+E88*1.6*C13-1.6*0.15*C21*C22*C20/12+1.6*0.15*(3.1415*M86^2)/144*C20/12</f>
        <v>-246.30235729166671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-4.4796499381606278E-2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74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100.5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+IF(M98&gt;O100,0,IF(M98&gt;O99,1,3))</f>
        <v>0</v>
      </c>
      <c r="F99" s="49"/>
      <c r="G99" s="49"/>
      <c r="H99" s="49"/>
      <c r="I99" s="50"/>
      <c r="J99" s="4" t="s">
        <v>224</v>
      </c>
      <c r="K99" s="64"/>
      <c r="L99" s="64"/>
      <c r="M99" s="64"/>
      <c r="N99" s="64"/>
      <c r="O99" s="64">
        <f>0.5*C17*12+C11</f>
        <v>33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60</v>
      </c>
      <c r="K100" s="64"/>
      <c r="L100" s="64"/>
      <c r="M100" s="64"/>
      <c r="N100" s="64"/>
      <c r="O100" s="64">
        <f>1*C17*12+C11</f>
        <v>63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13018.967999999999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109.54451150103323</v>
      </c>
      <c r="P101" s="4" t="s">
        <v>5</v>
      </c>
    </row>
    <row r="102" spans="1:17" ht="18.75" x14ac:dyDescent="0.35">
      <c r="A102" s="68" t="s">
        <v>7</v>
      </c>
      <c r="B102" s="79">
        <f>+B100*B101/1000</f>
        <v>1426.1564898075833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1212.2330163364459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9.2364300000000004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7.619351952575841E-3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74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100.5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+IF(M109&gt;O110,0,2)</f>
        <v>0</v>
      </c>
      <c r="F110" s="49"/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0.8661*C17*12+C11</f>
        <v>54.965999999999994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+C21*12*B109</f>
        <v>14208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9" ht="18.75" x14ac:dyDescent="0.35">
      <c r="A113" s="68" t="s">
        <v>7</v>
      </c>
      <c r="B113" s="79">
        <f>+B111*B112/1000</f>
        <v>1556.4084194066802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9" ht="18" x14ac:dyDescent="0.35">
      <c r="A114" s="68" t="s">
        <v>12</v>
      </c>
      <c r="B114" s="79">
        <f>+B113*0.85</f>
        <v>1322.9471564956782</v>
      </c>
      <c r="C114" s="48" t="s">
        <v>18</v>
      </c>
      <c r="D114" s="49"/>
      <c r="E114" s="49"/>
      <c r="F114" s="49"/>
      <c r="G114" s="49"/>
      <c r="H114" s="49"/>
      <c r="I114" s="50"/>
    </row>
    <row r="115" spans="1:9" ht="18" x14ac:dyDescent="0.35">
      <c r="A115" s="68" t="s">
        <v>58</v>
      </c>
      <c r="B115" s="79">
        <f>+E110*C13*1.6-1.6*0.15*C21*C22*C20/12*((C22/2-M109/12)/C22)</f>
        <v>28.076160000000009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9" ht="18" x14ac:dyDescent="0.35">
      <c r="A116" s="68" t="s">
        <v>14</v>
      </c>
      <c r="B116" s="74">
        <f>+B115/B114</f>
        <v>2.122243497190791E-2</v>
      </c>
      <c r="C116" s="48"/>
      <c r="D116" s="49"/>
      <c r="E116" s="49"/>
      <c r="F116" s="49"/>
      <c r="G116" s="49"/>
      <c r="H116" s="49"/>
      <c r="I116" s="50"/>
    </row>
    <row r="117" spans="1:9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9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9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9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9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9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9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9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9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9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9" x14ac:dyDescent="0.25">
      <c r="A127" s="68" t="s">
        <v>1</v>
      </c>
      <c r="B127" s="53">
        <f>+B86</f>
        <v>74</v>
      </c>
      <c r="C127" s="48" t="s">
        <v>0</v>
      </c>
      <c r="F127" s="49"/>
      <c r="G127" s="49"/>
      <c r="H127" s="49"/>
      <c r="I127" s="50"/>
    </row>
    <row r="128" spans="1:9" x14ac:dyDescent="0.25">
      <c r="A128" s="68" t="s">
        <v>54</v>
      </c>
      <c r="B128" s="54">
        <f>+B127/2</f>
        <v>37</v>
      </c>
      <c r="C128" s="48" t="s">
        <v>0</v>
      </c>
      <c r="F128" s="49"/>
      <c r="G128" s="49"/>
      <c r="H128" s="49"/>
      <c r="I128" s="50"/>
    </row>
    <row r="129" spans="1:16" x14ac:dyDescent="0.25">
      <c r="A129" s="68"/>
      <c r="B129" s="49"/>
      <c r="C129" s="48"/>
      <c r="D129" s="46" t="s">
        <v>453</v>
      </c>
      <c r="E129" s="83">
        <v>6</v>
      </c>
      <c r="G129" s="49"/>
      <c r="H129" s="49"/>
      <c r="I129" s="50"/>
    </row>
    <row r="130" spans="1:16" ht="18" x14ac:dyDescent="0.35">
      <c r="A130" s="68" t="s">
        <v>454</v>
      </c>
      <c r="B130" s="57">
        <f>+C17*12-C42/2+C11</f>
        <v>36.5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</row>
    <row r="131" spans="1:16" ht="18" x14ac:dyDescent="0.35">
      <c r="A131" s="68" t="s">
        <v>58</v>
      </c>
      <c r="B131" s="79">
        <f>+C13*E129*1.6-1.6*0.15*C21*C22*C20/12+1.6*0.15*(C42)/12*(C42)/12*C20/12</f>
        <v>7318.6839866666669</v>
      </c>
      <c r="C131" s="48" t="s">
        <v>18</v>
      </c>
      <c r="D131" s="49"/>
      <c r="E131" s="49"/>
      <c r="F131" s="49"/>
      <c r="G131" s="49"/>
      <c r="H131" s="49"/>
      <c r="I131" s="50"/>
    </row>
    <row r="132" spans="1:16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</row>
    <row r="133" spans="1:16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</row>
    <row r="134" spans="1:16" ht="18" x14ac:dyDescent="0.35">
      <c r="A134" s="68" t="s">
        <v>11</v>
      </c>
      <c r="B134" s="58">
        <f>3.1415*(B127+C42)</f>
        <v>398.97050000000002</v>
      </c>
      <c r="C134" s="48" t="s">
        <v>0</v>
      </c>
      <c r="D134" s="49"/>
      <c r="E134" s="49"/>
      <c r="F134" s="49"/>
      <c r="G134" s="49"/>
      <c r="H134" s="49"/>
      <c r="I134" s="50"/>
    </row>
    <row r="135" spans="1:16" ht="18" x14ac:dyDescent="0.35">
      <c r="A135" s="68" t="s">
        <v>2</v>
      </c>
      <c r="B135" s="58">
        <f>3.1415*C42</f>
        <v>166.49950000000001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532.17850560181466</v>
      </c>
      <c r="P135" s="4" t="s">
        <v>5</v>
      </c>
    </row>
    <row r="136" spans="1:16" x14ac:dyDescent="0.25">
      <c r="A136" s="68" t="s">
        <v>6</v>
      </c>
      <c r="B136" s="58">
        <f>IF(2*B127/B130*(1+B127/C42)&lt;32,2*B127/B130*(1+B127/C42),32)</f>
        <v>9.7162057379167752</v>
      </c>
      <c r="C136" s="48"/>
      <c r="D136" s="49" t="s">
        <v>9</v>
      </c>
      <c r="E136" s="49"/>
      <c r="F136" s="49"/>
      <c r="G136" s="49"/>
      <c r="H136" s="49"/>
      <c r="I136" s="50"/>
    </row>
    <row r="137" spans="1:16" ht="18.75" x14ac:dyDescent="0.35">
      <c r="A137" s="68" t="s">
        <v>7</v>
      </c>
      <c r="B137" s="79">
        <f>+B136*(C9*1000)^0.5*B135*B127/1000</f>
        <v>6556.9516769152515</v>
      </c>
      <c r="C137" s="48" t="s">
        <v>18</v>
      </c>
      <c r="D137" s="49" t="s">
        <v>10</v>
      </c>
      <c r="E137" s="49"/>
      <c r="F137" s="49"/>
      <c r="G137" s="49"/>
      <c r="H137" s="49"/>
      <c r="I137" s="50"/>
    </row>
    <row r="138" spans="1:16" ht="18" x14ac:dyDescent="0.35">
      <c r="A138" s="68" t="s">
        <v>12</v>
      </c>
      <c r="B138" s="79">
        <f>+B137*0.85</f>
        <v>5573.4089253779639</v>
      </c>
      <c r="C138" s="48" t="s">
        <v>18</v>
      </c>
      <c r="D138" s="49"/>
      <c r="E138" s="49"/>
      <c r="F138" s="49"/>
      <c r="G138" s="49"/>
      <c r="H138" s="49"/>
      <c r="I138" s="50"/>
    </row>
    <row r="139" spans="1:16" ht="18" x14ac:dyDescent="0.35">
      <c r="A139" s="68" t="s">
        <v>14</v>
      </c>
      <c r="B139" s="74">
        <f>+B131/B138</f>
        <v>1.3131431920133774</v>
      </c>
      <c r="C139" s="48"/>
      <c r="D139" s="49"/>
      <c r="E139" s="49"/>
      <c r="F139" s="49"/>
      <c r="G139" s="49"/>
      <c r="H139" s="49"/>
      <c r="I139" s="50"/>
    </row>
    <row r="140" spans="1:16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16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16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16" x14ac:dyDescent="0.25">
      <c r="A143" s="68" t="s">
        <v>1</v>
      </c>
      <c r="B143" s="53">
        <f>+C20-C14-C15-P21/2</f>
        <v>74.153499999999994</v>
      </c>
      <c r="C143" s="48" t="s">
        <v>0</v>
      </c>
      <c r="D143" s="49"/>
      <c r="E143" s="49"/>
      <c r="F143" s="49"/>
      <c r="G143" s="49"/>
      <c r="H143" s="49"/>
      <c r="I143" s="50"/>
    </row>
    <row r="144" spans="1:16" x14ac:dyDescent="0.25">
      <c r="A144" s="68" t="s">
        <v>64</v>
      </c>
      <c r="B144" s="58">
        <f>+C17*12*0.5-C42/2+C11</f>
        <v>6.5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8.7656010842374274E-2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3*1.6*C13-1.6*0.15*C21*C22*C20/12*((C21/2-C42/2/12)/C21)</f>
        <v>3697.3484700000004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1.6*C13*(2*B144)+1.6*C13*(1*(B144+0.5*C17*12))-1.6*0.15*C21*C22*C20/12*((C21/2-C42/2/12)/C21)*(C21/2-C42/2/12)*12/2</f>
        <v>58402.859332499997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4.6944847033811969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0.21301592468279879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6073.7379038449071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0.60874350005446198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72.460499999999996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+C17*12*0.8661-C42/2+C11</f>
        <v>28.466000000000001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0.39284851746813787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2*1.6*C13-1.6*0.15*C21*C22*C20/12*((C22/2-C42/2/12)/C22)</f>
        <v>2422.3161599999999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1.6*C13*(2*B157)-1.6*0.15*C21*C22*C20/12*((C22/2-C42/2/12)/C22)*(C22/2-C42/2/12)*12/2</f>
        <v>68641.522545280008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2.557085472512576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0.39107022848845419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6477.1224617064236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0.37398029361356727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74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60.815999999999995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37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94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21852.274000000005</v>
      </c>
      <c r="U171" s="4" t="s">
        <v>35</v>
      </c>
    </row>
    <row r="172" spans="1:32" ht="18.75" x14ac:dyDescent="0.35">
      <c r="A172" s="45"/>
      <c r="B172" s="53">
        <f>+C65</f>
        <v>11</v>
      </c>
      <c r="C172" s="48" t="s">
        <v>71</v>
      </c>
      <c r="D172" s="83" t="str">
        <f>"#"&amp;+C23</f>
        <v>#14</v>
      </c>
      <c r="E172" s="49" t="s">
        <v>72</v>
      </c>
      <c r="F172" s="49" t="s">
        <v>73</v>
      </c>
      <c r="G172" s="57">
        <f>+C22-0.5</f>
        <v>14.161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54.870184639212674</v>
      </c>
      <c r="AF172" s="4" t="s">
        <v>5</v>
      </c>
    </row>
    <row r="173" spans="1:32" ht="18.75" x14ac:dyDescent="0.35">
      <c r="A173" s="45"/>
      <c r="B173" s="55">
        <f>+B172*2</f>
        <v>22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2.0749831250000006</v>
      </c>
      <c r="H173" s="48" t="s">
        <v>74</v>
      </c>
      <c r="I173" s="50"/>
      <c r="Q173" s="4" t="s">
        <v>7</v>
      </c>
      <c r="R173" s="4">
        <f>+R172*T171/1000</f>
        <v>4787.5933610334605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1542.8671210348737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4069.4543568784411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1199.0383091666667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11</v>
      </c>
      <c r="C176" s="48" t="s">
        <v>71</v>
      </c>
      <c r="D176" s="83" t="str">
        <f>"#"&amp;+C24</f>
        <v>#14</v>
      </c>
      <c r="E176" s="49" t="s">
        <v>72</v>
      </c>
      <c r="F176" s="49" t="s">
        <v>73</v>
      </c>
      <c r="G176" s="57">
        <f>+C21-0.5</f>
        <v>15.5</v>
      </c>
      <c r="H176" s="48" t="s">
        <v>74</v>
      </c>
      <c r="I176" s="50"/>
      <c r="Q176" s="4" t="s">
        <v>14</v>
      </c>
      <c r="R176" s="4">
        <f>+R175/R174</f>
        <v>0.2946435084448063</v>
      </c>
    </row>
    <row r="177" spans="1:32" x14ac:dyDescent="0.25">
      <c r="A177" s="45"/>
      <c r="B177" s="55">
        <f>+B176*2</f>
        <v>22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2.0749831250000006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1655.6901718154791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74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3198.5572928503525</v>
      </c>
      <c r="D180" s="48" t="s">
        <v>78</v>
      </c>
      <c r="E180" s="49" t="s">
        <v>79</v>
      </c>
      <c r="F180" s="88">
        <f>+C180/2000</f>
        <v>1.5992786464251763</v>
      </c>
      <c r="G180" s="48" t="s">
        <v>19</v>
      </c>
      <c r="H180" s="49"/>
      <c r="I180" s="50"/>
      <c r="Q180" s="4" t="s">
        <v>54</v>
      </c>
      <c r="T180" s="4">
        <f>+T179/2</f>
        <v>37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120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295.30100000000004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30732.274000000005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78.524560504916309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6733.10388529181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5723.1383024980387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2413.2383091666666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0.42166346183060699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74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37</v>
      </c>
      <c r="U192" s="4" t="s">
        <v>0</v>
      </c>
      <c r="W192" s="64"/>
    </row>
    <row r="193" spans="1:58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145.82525000000001</v>
      </c>
      <c r="U193" s="4" t="s">
        <v>0</v>
      </c>
      <c r="V193" s="64"/>
      <c r="W193" s="64"/>
    </row>
    <row r="194" spans="1:58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10791.068500000001</v>
      </c>
      <c r="U194" s="4" t="s">
        <v>35</v>
      </c>
    </row>
    <row r="195" spans="1:58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111.68120907504817</v>
      </c>
      <c r="AF195" s="4" t="s">
        <v>5</v>
      </c>
    </row>
    <row r="196" spans="1:58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2364.2046548133749</v>
      </c>
      <c r="S196" s="4" t="s">
        <v>8</v>
      </c>
      <c r="T196" s="4" t="s">
        <v>87</v>
      </c>
    </row>
    <row r="197" spans="1:58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2009.5739565913686</v>
      </c>
      <c r="S197" s="4" t="s">
        <v>8</v>
      </c>
    </row>
    <row r="198" spans="1:58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1205.1595772916667</v>
      </c>
      <c r="S198" s="4" t="s">
        <v>8</v>
      </c>
      <c r="T198" s="4" t="s">
        <v>350</v>
      </c>
    </row>
    <row r="199" spans="1:58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0.59970899470445649</v>
      </c>
      <c r="T199" s="4" t="s">
        <v>146</v>
      </c>
      <c r="V199" s="4">
        <f>+(C18*C18+C18*T170+3.1415*T170^2/4/4)/144</f>
        <v>44.547870659722221</v>
      </c>
      <c r="W199" s="4" t="s">
        <v>147</v>
      </c>
    </row>
    <row r="200" spans="1:58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8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8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74</v>
      </c>
      <c r="U202" s="4" t="s">
        <v>0</v>
      </c>
      <c r="V202" s="4" t="s">
        <v>53</v>
      </c>
      <c r="W202" s="64"/>
    </row>
    <row r="203" spans="1:58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8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147.82239999999999</v>
      </c>
      <c r="U204" s="4" t="s">
        <v>0</v>
      </c>
      <c r="V204" s="64"/>
      <c r="W204" s="64"/>
    </row>
    <row r="205" spans="1:58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10938.857599999999</v>
      </c>
      <c r="U205" s="4" t="s">
        <v>35</v>
      </c>
    </row>
    <row r="206" spans="1:58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111.1878256595765</v>
      </c>
      <c r="AF206" s="4" t="s">
        <v>5</v>
      </c>
    </row>
    <row r="207" spans="1:58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1198.2918121713647</v>
      </c>
      <c r="S207" s="4" t="s">
        <v>8</v>
      </c>
      <c r="T207" s="4" t="s">
        <v>93</v>
      </c>
    </row>
    <row r="208" spans="1:58" ht="18" x14ac:dyDescent="0.35"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1018.54804034566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</row>
    <row r="209" spans="1:58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1216.2677917437334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</row>
    <row r="210" spans="1:58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1.1941192202686621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</row>
    <row r="211" spans="1:58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</row>
    <row r="212" spans="1:58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</row>
    <row r="213" spans="1:58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</row>
    <row r="214" spans="1:58" x14ac:dyDescent="0.25">
      <c r="A214" s="4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</row>
    <row r="215" spans="1:58" x14ac:dyDescent="0.25">
      <c r="A215" s="4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</row>
    <row r="216" spans="1:58" x14ac:dyDescent="0.25">
      <c r="A216" s="4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</row>
    <row r="217" spans="1:58" x14ac:dyDescent="0.25">
      <c r="A217" s="4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</row>
    <row r="218" spans="1:58" x14ac:dyDescent="0.25">
      <c r="A218" s="4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</row>
    <row r="219" spans="1:58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</row>
    <row r="220" spans="1:58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</row>
    <row r="221" spans="1:58" x14ac:dyDescent="0.25">
      <c r="A221" s="4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sqref="C15">
      <formula1>$O$11:$O$13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of permitted range!" sqref="C9">
      <formula1>$J$1:$J$2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4" manualBreakCount="4">
    <brk id="43" max="37" man="1"/>
    <brk id="84" max="37" man="1"/>
    <brk id="125" max="37" man="1"/>
    <brk id="166" max="37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73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232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120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240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12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3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21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35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16.590060000000001</v>
      </c>
    </row>
    <row r="20" spans="1:17" ht="18" x14ac:dyDescent="0.35">
      <c r="A20" s="45"/>
      <c r="B20" s="46" t="s">
        <v>425</v>
      </c>
      <c r="C20" s="56">
        <v>51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12.566000000000001</v>
      </c>
    </row>
    <row r="21" spans="1:17" x14ac:dyDescent="0.25">
      <c r="A21" s="45"/>
      <c r="B21" s="46" t="s">
        <v>426</v>
      </c>
      <c r="C21" s="53">
        <f>2*C18/12+2*C17</f>
        <v>9.5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1.1279999999999999</v>
      </c>
      <c r="M21" s="4" t="s">
        <v>20</v>
      </c>
      <c r="N21" s="4" t="s">
        <v>37</v>
      </c>
      <c r="P21" s="4">
        <f>+IF(C24&lt;9,(C24/8),IF(C24=9,1.128,IF(C24=10,1.27,IF(C24=11,1.41,IF(C24=14,1.693,0)))))</f>
        <v>1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2*C18/12+C17*2*0.8661</f>
        <v>8.6966000000000001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0.99929858399999982</v>
      </c>
      <c r="M22" s="4" t="s">
        <v>35</v>
      </c>
      <c r="N22" s="4" t="s">
        <v>38</v>
      </c>
      <c r="P22" s="4">
        <f>3.1415*P21^2/4</f>
        <v>0.78537500000000005</v>
      </c>
      <c r="Q22" s="4" t="s">
        <v>35</v>
      </c>
    </row>
    <row r="23" spans="1:17" x14ac:dyDescent="0.25">
      <c r="A23" s="45"/>
      <c r="B23" s="46" t="s">
        <v>428</v>
      </c>
      <c r="C23" s="47">
        <v>9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8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40.436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41.5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41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13.540749682261449</v>
      </c>
    </row>
    <row r="28" spans="1:17" x14ac:dyDescent="0.25">
      <c r="A28" s="59" t="str">
        <f>+IF(C12&gt;200,"High capacity pile selected - special details required - see CRSI Pile Cap Design Guide", "")</f>
        <v/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12</v>
      </c>
    </row>
    <row r="30" spans="1:17" x14ac:dyDescent="0.25">
      <c r="A30" s="45" t="s">
        <v>123</v>
      </c>
      <c r="B30" s="49"/>
      <c r="C30" s="49"/>
      <c r="D30" s="49"/>
      <c r="E30" s="62" t="str">
        <f>+IF(C63&gt;C61,"NG; select smaller bar size","OK")</f>
        <v>OK</v>
      </c>
      <c r="F30" s="49"/>
      <c r="G30" s="49"/>
      <c r="H30" s="49"/>
      <c r="I30" s="50"/>
    </row>
    <row r="31" spans="1:17" ht="18.75" x14ac:dyDescent="0.3">
      <c r="A31" s="45" t="s">
        <v>124</v>
      </c>
      <c r="B31" s="49"/>
      <c r="C31" s="49"/>
      <c r="D31" s="49"/>
      <c r="E31" s="62" t="str">
        <f>+IF(C81&gt;C79,"NG; select smaller bar size","OK")</f>
        <v>OK</v>
      </c>
      <c r="F31" s="49"/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41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20.5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53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applicable",IF(G139&lt;1,"OK","NG"))</f>
        <v>OK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6826.4795000000004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OK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53.96241623183419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1495.6067241986352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1271.2657155688398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368.37332817708335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1.6*8*C13-1.6*C21*C22*C20/12*0.15</f>
        <v>2987.7299459999999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0.28976894732998543</v>
      </c>
    </row>
    <row r="41" spans="1:25" x14ac:dyDescent="0.25">
      <c r="A41" s="45"/>
      <c r="B41" s="46" t="s">
        <v>433</v>
      </c>
      <c r="C41" s="58">
        <f>+(C40/4)^0.5</f>
        <v>27.330065614630346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28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1.6*C13*(3*(C17*12*0.866+C11-C42/4))-1.6*(C22/2-C42/12/4)*C21*C20/12*0.15*(C22/2-C42/12/4)*12/2</f>
        <v>30482.6190115754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3208.6967380605684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40.436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1.5311615931252938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14.546035134690291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19.394713512920386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12.624194321108972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15.365680000000001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15.365680000000001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10.465199999999999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15.365680000000001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109"/>
      <c r="B57" s="76" t="s">
        <v>45</v>
      </c>
      <c r="C57" s="57">
        <f>+C21/C22</f>
        <v>1.0923809304785779</v>
      </c>
      <c r="D57" s="48"/>
      <c r="E57" s="49"/>
      <c r="F57" s="49"/>
      <c r="G57" s="49"/>
      <c r="H57" s="49"/>
      <c r="I57" s="50"/>
    </row>
    <row r="58" spans="1:9" ht="18" x14ac:dyDescent="0.35">
      <c r="A58" s="109"/>
      <c r="B58" s="76" t="s">
        <v>47</v>
      </c>
      <c r="C58" s="55">
        <f>2/(C57+1)</f>
        <v>0.95584889484848801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15.188258661459585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15.365680000000001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18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17.299269256243164</v>
      </c>
      <c r="D63" s="48" t="s">
        <v>0</v>
      </c>
      <c r="E63" s="49" t="str">
        <f>+IF(C63&gt;C61,"NG; insufficient length available to develop hook","OK; sufficient length available to develop hook")</f>
        <v>OK; 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15.376465298784016</v>
      </c>
      <c r="D64" s="48"/>
      <c r="E64" s="49"/>
      <c r="F64" s="49"/>
      <c r="G64" s="49"/>
      <c r="H64" s="49"/>
      <c r="I64" s="50"/>
    </row>
    <row r="65" spans="1:9" x14ac:dyDescent="0.25">
      <c r="A65" s="45"/>
      <c r="B65" s="46" t="s">
        <v>442</v>
      </c>
      <c r="C65" s="56">
        <v>11</v>
      </c>
      <c r="D65" s="48"/>
      <c r="E65" s="49"/>
      <c r="F65" s="49"/>
      <c r="G65" s="49"/>
      <c r="H65" s="49"/>
      <c r="I65" s="50"/>
    </row>
    <row r="66" spans="1:9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9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9" ht="18" x14ac:dyDescent="0.35">
      <c r="A68" s="45"/>
      <c r="B68" s="46" t="s">
        <v>26</v>
      </c>
      <c r="C68" s="69">
        <f>1.6*C13*(1*(C17*12/2+C11-C42/4))+1.6*C13*(2*(C17*12+C11-C42/4))-1.6*(C21/2-C42/12/4)*C22*C20/12*0.15*(C21/2-C42/12/4)*12/2</f>
        <v>29027.986249999998</v>
      </c>
      <c r="D68" s="48" t="s">
        <v>27</v>
      </c>
      <c r="E68" s="49" t="s">
        <v>118</v>
      </c>
      <c r="F68" s="49"/>
      <c r="G68" s="49"/>
      <c r="H68" s="49"/>
      <c r="I68" s="50"/>
    </row>
    <row r="69" spans="1:9" ht="18" x14ac:dyDescent="0.35">
      <c r="A69" s="45"/>
      <c r="B69" s="46" t="s">
        <v>26</v>
      </c>
      <c r="C69" s="79">
        <f>+C68/C22</f>
        <v>3337.8545925994063</v>
      </c>
      <c r="D69" s="48" t="s">
        <v>28</v>
      </c>
      <c r="E69" s="49" t="s">
        <v>29</v>
      </c>
      <c r="F69" s="49"/>
      <c r="G69" s="49"/>
      <c r="H69" s="49"/>
      <c r="I69" s="50"/>
    </row>
    <row r="70" spans="1:9" x14ac:dyDescent="0.25">
      <c r="A70" s="45"/>
      <c r="B70" s="46" t="s">
        <v>1</v>
      </c>
      <c r="C70" s="55">
        <f>+C20-C14-C15-P21/2</f>
        <v>41.5</v>
      </c>
      <c r="D70" s="48" t="s">
        <v>0</v>
      </c>
      <c r="E70" s="49"/>
      <c r="F70" s="49"/>
      <c r="G70" s="49"/>
      <c r="H70" s="49"/>
      <c r="I70" s="50"/>
    </row>
    <row r="71" spans="1:9" ht="18" x14ac:dyDescent="0.35">
      <c r="A71" s="45"/>
      <c r="B71" s="46" t="s">
        <v>40</v>
      </c>
      <c r="C71" s="58">
        <f>IF(C9=3,0.51*C70-(0.26*C70^2-0.0189*C69)^0.5,0.68*C70-(0.462*C70^2-0.0252*C69)^0.5)</f>
        <v>1.5512408447571886</v>
      </c>
      <c r="D71" s="48" t="s">
        <v>435</v>
      </c>
      <c r="E71" s="49"/>
      <c r="F71" s="49"/>
      <c r="G71" s="49"/>
      <c r="H71" s="49"/>
      <c r="I71" s="50"/>
    </row>
    <row r="72" spans="1:9" ht="18" x14ac:dyDescent="0.35">
      <c r="A72" s="45"/>
      <c r="B72" s="46" t="s">
        <v>39</v>
      </c>
      <c r="C72" s="58">
        <f>+C71*C22</f>
        <v>13.490521130515367</v>
      </c>
      <c r="D72" s="48" t="s">
        <v>436</v>
      </c>
      <c r="E72" s="49"/>
      <c r="F72" s="49"/>
      <c r="G72" s="49"/>
      <c r="H72" s="49"/>
      <c r="I72" s="50"/>
    </row>
    <row r="73" spans="1:9" ht="18" x14ac:dyDescent="0.35">
      <c r="A73" s="45"/>
      <c r="B73" s="46" t="s">
        <v>43</v>
      </c>
      <c r="C73" s="58">
        <f>+C72*4/3</f>
        <v>17.987361507353821</v>
      </c>
      <c r="D73" s="48" t="s">
        <v>436</v>
      </c>
      <c r="E73" s="49"/>
      <c r="F73" s="49"/>
      <c r="G73" s="49"/>
      <c r="H73" s="49"/>
      <c r="I73" s="50"/>
    </row>
    <row r="74" spans="1:9" ht="18.75" x14ac:dyDescent="0.35">
      <c r="A74" s="45"/>
      <c r="B74" s="46" t="s">
        <v>437</v>
      </c>
      <c r="C74" s="58">
        <f>3*(C9*1000)^0.5*C22*12*C70/C10/1000</f>
        <v>11.860676744062573</v>
      </c>
      <c r="D74" s="48" t="s">
        <v>436</v>
      </c>
      <c r="E74" s="49"/>
      <c r="F74" s="49"/>
      <c r="G74" s="49"/>
      <c r="H74" s="49"/>
      <c r="I74" s="50"/>
    </row>
    <row r="75" spans="1:9" ht="18" x14ac:dyDescent="0.35">
      <c r="A75" s="45"/>
      <c r="B75" s="46" t="s">
        <v>438</v>
      </c>
      <c r="C75" s="58">
        <f>200*C22*12*C70/C10/1000</f>
        <v>14.436356</v>
      </c>
      <c r="D75" s="48" t="s">
        <v>436</v>
      </c>
      <c r="E75" s="49"/>
      <c r="F75" s="49"/>
      <c r="G75" s="49"/>
      <c r="H75" s="49"/>
      <c r="I75" s="50"/>
    </row>
    <row r="76" spans="1:9" ht="18" x14ac:dyDescent="0.35">
      <c r="A76" s="45"/>
      <c r="B76" s="46" t="s">
        <v>44</v>
      </c>
      <c r="C76" s="58">
        <f>+MAX(C74:C75)</f>
        <v>14.436356</v>
      </c>
      <c r="D76" s="48" t="s">
        <v>436</v>
      </c>
      <c r="E76" s="49"/>
      <c r="F76" s="49"/>
      <c r="G76" s="49"/>
      <c r="H76" s="49"/>
      <c r="I76" s="50"/>
    </row>
    <row r="77" spans="1:9" ht="18" x14ac:dyDescent="0.35">
      <c r="A77" s="45"/>
      <c r="B77" s="46" t="s">
        <v>439</v>
      </c>
      <c r="C77" s="58">
        <f>+IF(C10=60,0.0018*C22*12*C20,0.002*C22*12*C20)</f>
        <v>9.5801745599999997</v>
      </c>
      <c r="D77" s="48" t="s">
        <v>436</v>
      </c>
      <c r="E77" s="49"/>
      <c r="F77" s="49"/>
      <c r="G77" s="49"/>
      <c r="H77" s="49"/>
      <c r="I77" s="50"/>
    </row>
    <row r="78" spans="1:9" ht="18" x14ac:dyDescent="0.35">
      <c r="A78" s="45"/>
      <c r="B78" s="46" t="s">
        <v>41</v>
      </c>
      <c r="C78" s="58">
        <f>+IF(C72&gt;C76,C72,IF(C73&gt;C76,C76,IF(C73&gt;C77,C73,C77)))</f>
        <v>14.436356</v>
      </c>
      <c r="D78" s="48" t="s">
        <v>436</v>
      </c>
      <c r="E78" s="49"/>
      <c r="F78" s="49"/>
      <c r="G78" s="49"/>
      <c r="H78" s="49"/>
      <c r="I78" s="50"/>
    </row>
    <row r="79" spans="1:9" x14ac:dyDescent="0.25">
      <c r="A79" s="45"/>
      <c r="B79" s="46" t="s">
        <v>440</v>
      </c>
      <c r="C79" s="55">
        <f>+C18-C11</f>
        <v>18</v>
      </c>
      <c r="D79" s="48" t="s">
        <v>0</v>
      </c>
      <c r="E79" s="49" t="s">
        <v>52</v>
      </c>
      <c r="F79" s="49"/>
      <c r="G79" s="49"/>
      <c r="H79" s="49"/>
      <c r="I79" s="50"/>
    </row>
    <row r="80" spans="1:9" ht="18" x14ac:dyDescent="0.35">
      <c r="A80" s="45"/>
      <c r="B80" s="46" t="s">
        <v>51</v>
      </c>
      <c r="C80" s="55">
        <v>1</v>
      </c>
      <c r="D80" s="48"/>
      <c r="E80" s="49" t="s">
        <v>50</v>
      </c>
      <c r="F80" s="49"/>
      <c r="G80" s="49"/>
      <c r="H80" s="49"/>
      <c r="I80" s="50"/>
    </row>
    <row r="81" spans="1:17" ht="18" x14ac:dyDescent="0.35">
      <c r="A81" s="45"/>
      <c r="B81" s="46" t="s">
        <v>48</v>
      </c>
      <c r="C81" s="58">
        <f>0.02*C62*C10*1000/(C9*1000)^0.5*P21*0.7</f>
        <v>15.336231610144651</v>
      </c>
      <c r="D81" s="48" t="s">
        <v>0</v>
      </c>
      <c r="E81" s="49" t="str">
        <f>+IF(C81&gt;C79,"NG; insufficient length available to develop hook","OK; sufficient length available to develop hook")</f>
        <v>OK; sufficient length available to develop hook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18.381481457902275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14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41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34.5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20.5</v>
      </c>
      <c r="C87" s="48" t="s">
        <v>0</v>
      </c>
      <c r="D87" s="49"/>
      <c r="E87" s="49"/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+C17*12*0.866+C11</f>
        <v>34.176000000000002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+IF(M86&gt;O89,0,IF(M86&gt;O87,4,IF(M86&gt;O88,6,8)))</f>
        <v>4</v>
      </c>
      <c r="F88" s="49"/>
      <c r="G88" s="49"/>
      <c r="H88" s="49"/>
      <c r="I88" s="50"/>
      <c r="J88" s="4" t="s">
        <v>233</v>
      </c>
      <c r="K88" s="64"/>
      <c r="L88" s="64"/>
      <c r="M88" s="64"/>
      <c r="N88" s="64"/>
      <c r="O88" s="64">
        <f>+C17*12/2+C11</f>
        <v>21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  <c r="J89" s="4" t="s">
        <v>234</v>
      </c>
      <c r="K89" s="64"/>
      <c r="L89" s="64"/>
      <c r="M89" s="64"/>
      <c r="N89" s="64"/>
      <c r="O89" s="64">
        <f>+C17*12+C11</f>
        <v>39</v>
      </c>
      <c r="P89" s="4" t="s">
        <v>0</v>
      </c>
      <c r="Q89" s="4" t="s">
        <v>120</v>
      </c>
    </row>
    <row r="90" spans="1:17" ht="18" x14ac:dyDescent="0.35">
      <c r="A90" s="68" t="s">
        <v>11</v>
      </c>
      <c r="B90" s="55">
        <f>4*(B86+C42)</f>
        <v>276</v>
      </c>
      <c r="C90" s="48" t="s">
        <v>0</v>
      </c>
      <c r="D90" s="49"/>
      <c r="E90" s="49"/>
      <c r="F90" s="49"/>
      <c r="G90" s="49"/>
      <c r="H90" s="49"/>
      <c r="I90" s="50"/>
    </row>
    <row r="91" spans="1:17" ht="18.75" x14ac:dyDescent="0.35">
      <c r="A91" s="68" t="s">
        <v>7</v>
      </c>
      <c r="B91" s="79">
        <f>+B89*B90*B86/1000</f>
        <v>2479.2113842913841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219.08902300206645</v>
      </c>
      <c r="P91" s="4" t="s">
        <v>5</v>
      </c>
    </row>
    <row r="92" spans="1:17" ht="18" x14ac:dyDescent="0.35">
      <c r="A92" s="68" t="s">
        <v>12</v>
      </c>
      <c r="B92" s="79">
        <f>+B91*0.85</f>
        <v>2107.3296766476765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1485.453696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0.70489857968642478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41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55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+IF(M98&gt;O100,0,IF(M98&gt;O99,2,3))</f>
        <v>0</v>
      </c>
      <c r="F99" s="49"/>
      <c r="G99" s="49"/>
      <c r="H99" s="49"/>
      <c r="I99" s="50"/>
      <c r="J99" s="4" t="s">
        <v>224</v>
      </c>
      <c r="K99" s="64"/>
      <c r="L99" s="64"/>
      <c r="M99" s="64"/>
      <c r="N99" s="64"/>
      <c r="O99" s="64">
        <f>C17*12/2+C11</f>
        <v>21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  <c r="J100" s="4" t="s">
        <v>60</v>
      </c>
      <c r="K100" s="64"/>
      <c r="L100" s="64"/>
      <c r="M100" s="64"/>
      <c r="N100" s="64"/>
      <c r="O100" s="64">
        <f>C17*12+C11</f>
        <v>39</v>
      </c>
      <c r="P100" s="4" t="s">
        <v>0</v>
      </c>
      <c r="Q100" s="4" t="s">
        <v>120</v>
      </c>
    </row>
    <row r="101" spans="1:17" x14ac:dyDescent="0.25">
      <c r="A101" s="68" t="s">
        <v>62</v>
      </c>
      <c r="B101" s="79">
        <f>+C22*12*B98</f>
        <v>4278.7272000000003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109.54451150103323</v>
      </c>
      <c r="P101" s="4" t="s">
        <v>5</v>
      </c>
    </row>
    <row r="102" spans="1:17" ht="18.75" x14ac:dyDescent="0.35">
      <c r="A102" s="68" t="s">
        <v>7</v>
      </c>
      <c r="B102" s="79">
        <f>+B100*B101/1000</f>
        <v>468.71108097018373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398.40441882465615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-1.4784220000000026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-3.7108574356718633E-3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41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55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+IF(M109&gt;O110,0,3)</f>
        <v>0</v>
      </c>
      <c r="F110" s="49"/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C17*12*0.866+C11</f>
        <v>34.176000000000002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+C21*12*B109</f>
        <v>4674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23" ht="18.75" x14ac:dyDescent="0.35">
      <c r="A113" s="68" t="s">
        <v>7</v>
      </c>
      <c r="B113" s="79">
        <f>+B111*B112/1000</f>
        <v>512.01104675582928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23" ht="18" x14ac:dyDescent="0.35">
      <c r="A114" s="68" t="s">
        <v>12</v>
      </c>
      <c r="B114" s="79">
        <f>+B113*0.85</f>
        <v>435.2093897424549</v>
      </c>
      <c r="C114" s="48" t="s">
        <v>18</v>
      </c>
      <c r="D114" s="49"/>
      <c r="E114" s="49"/>
      <c r="F114" s="49"/>
      <c r="G114" s="49"/>
      <c r="H114" s="49"/>
      <c r="I114" s="50"/>
    </row>
    <row r="115" spans="1:23" ht="18" x14ac:dyDescent="0.35">
      <c r="A115" s="68" t="s">
        <v>58</v>
      </c>
      <c r="B115" s="79">
        <f>+E110*C13*1.6-1.6*0.15*C21*C22*C20/12*((C22/2-M109/12)/C22)</f>
        <v>2.2774729999999965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23" ht="18" x14ac:dyDescent="0.35">
      <c r="A116" s="68" t="s">
        <v>14</v>
      </c>
      <c r="B116" s="74">
        <f>+B115/B114</f>
        <v>5.2330511557844451E-3</v>
      </c>
      <c r="C116" s="48"/>
      <c r="D116" s="49"/>
      <c r="E116" s="49"/>
      <c r="F116" s="49"/>
      <c r="G116" s="49"/>
      <c r="H116" s="49"/>
      <c r="I116" s="50"/>
    </row>
    <row r="117" spans="1:23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23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23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23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23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23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23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23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23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23" ht="19.5" x14ac:dyDescent="0.35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  <c r="U126" s="49" t="s">
        <v>353</v>
      </c>
      <c r="V126" s="4">
        <f>+(B130+R130)/2</f>
        <v>13.587999999999999</v>
      </c>
      <c r="W126" s="4" t="s">
        <v>0</v>
      </c>
    </row>
    <row r="127" spans="1:23" ht="18" x14ac:dyDescent="0.35">
      <c r="A127" s="68" t="s">
        <v>1</v>
      </c>
      <c r="B127" s="53">
        <f>+B86</f>
        <v>41</v>
      </c>
      <c r="C127" s="48" t="s">
        <v>0</v>
      </c>
      <c r="F127" s="49"/>
      <c r="G127" s="49"/>
      <c r="H127" s="49"/>
      <c r="I127" s="50"/>
      <c r="K127" s="4" t="s">
        <v>352</v>
      </c>
      <c r="U127" s="49" t="s">
        <v>13</v>
      </c>
      <c r="V127" s="49">
        <f>+C13*E129*1.6-1.6*0.15*C21*C22*C20/12+1.6*0.15*(C42)/12*(C42)/12*C20/12</f>
        <v>2993.2832793333332</v>
      </c>
      <c r="W127" s="49" t="s">
        <v>8</v>
      </c>
    </row>
    <row r="128" spans="1:23" ht="18.75" x14ac:dyDescent="0.35">
      <c r="A128" s="68" t="s">
        <v>54</v>
      </c>
      <c r="B128" s="54">
        <f>+B127/2</f>
        <v>20.5</v>
      </c>
      <c r="C128" s="48" t="s">
        <v>0</v>
      </c>
      <c r="F128" s="49"/>
      <c r="G128" s="49"/>
      <c r="H128" s="49"/>
      <c r="I128" s="50"/>
      <c r="K128" s="4" t="str">
        <f>+IF(R130&gt;B128,"OK","NG, but answer conservative")</f>
        <v>NG, but answer conservative</v>
      </c>
      <c r="U128" s="49" t="s">
        <v>3</v>
      </c>
      <c r="V128" s="49">
        <f>+B132</f>
        <v>219.08902300206645</v>
      </c>
      <c r="W128" s="49" t="s">
        <v>5</v>
      </c>
    </row>
    <row r="129" spans="1:23" ht="18.75" x14ac:dyDescent="0.35">
      <c r="A129" s="68"/>
      <c r="B129" s="49"/>
      <c r="C129" s="48"/>
      <c r="D129" s="46" t="s">
        <v>453</v>
      </c>
      <c r="E129" s="83">
        <v>8</v>
      </c>
      <c r="G129" s="49"/>
      <c r="H129" s="49"/>
      <c r="I129" s="50"/>
      <c r="U129" s="49" t="s">
        <v>4</v>
      </c>
      <c r="V129" s="49">
        <f>+V128*8</f>
        <v>1752.7121840165316</v>
      </c>
      <c r="W129" s="49" t="s">
        <v>5</v>
      </c>
    </row>
    <row r="130" spans="1:23" ht="18" x14ac:dyDescent="0.35">
      <c r="A130" s="68" t="s">
        <v>454</v>
      </c>
      <c r="B130" s="57">
        <f>+C17*12/2-C42/2+C11</f>
        <v>7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  <c r="Q130" s="49" t="s">
        <v>16</v>
      </c>
      <c r="R130" s="4">
        <f>+C17*12*0.866-C42/2+C11</f>
        <v>20.175999999999998</v>
      </c>
      <c r="S130" s="4" t="s">
        <v>0</v>
      </c>
      <c r="U130" s="49" t="s">
        <v>11</v>
      </c>
      <c r="V130" s="49">
        <f>+B134</f>
        <v>276</v>
      </c>
      <c r="W130" s="49" t="s">
        <v>0</v>
      </c>
    </row>
    <row r="131" spans="1:23" ht="18" x14ac:dyDescent="0.35">
      <c r="A131" s="68" t="s">
        <v>58</v>
      </c>
      <c r="B131" s="79">
        <f>+C13*E129*1.6-1.6*0.15*C21*C22*C20/12+1.6*0.15*(C42)/12*(C42)/12*C20/12</f>
        <v>2993.2832793333332</v>
      </c>
      <c r="C131" s="48" t="s">
        <v>18</v>
      </c>
      <c r="D131" s="49"/>
      <c r="E131" s="49"/>
      <c r="F131" s="49"/>
      <c r="G131" s="49"/>
      <c r="H131" s="49"/>
      <c r="I131" s="50"/>
      <c r="Q131" s="49" t="s">
        <v>13</v>
      </c>
      <c r="R131" s="49">
        <f>+C13*E129*1.6-1.6*0.15*C21*C22*C20/12+1.6*0.15*(C42)/12*(C42)/12*C20/12</f>
        <v>2993.2832793333332</v>
      </c>
      <c r="S131" s="49" t="s">
        <v>8</v>
      </c>
      <c r="T131" s="49"/>
      <c r="U131" s="49" t="s">
        <v>2</v>
      </c>
      <c r="V131" s="49">
        <f>+B135</f>
        <v>112</v>
      </c>
      <c r="W131" s="49" t="s">
        <v>0</v>
      </c>
    </row>
    <row r="132" spans="1:23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  <c r="Q132" s="49" t="s">
        <v>3</v>
      </c>
      <c r="R132" s="49">
        <f>+B132</f>
        <v>219.08902300206645</v>
      </c>
      <c r="S132" s="49" t="s">
        <v>5</v>
      </c>
      <c r="T132" s="49"/>
      <c r="U132" s="49" t="s">
        <v>6</v>
      </c>
      <c r="V132" s="49">
        <f>IF(2*B127/V126*(1+B127/C42)&lt;32,2*B127/V126*(1+B127/C42),32)</f>
        <v>14.871315025863158</v>
      </c>
      <c r="W132" s="49"/>
    </row>
    <row r="133" spans="1:23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  <c r="Q133" s="49" t="s">
        <v>4</v>
      </c>
      <c r="R133" s="49">
        <f>+R132*8</f>
        <v>1752.7121840165316</v>
      </c>
      <c r="S133" s="49" t="s">
        <v>5</v>
      </c>
      <c r="T133" s="49"/>
      <c r="U133" s="45" t="s">
        <v>7</v>
      </c>
      <c r="V133" s="49">
        <f>+V132*(C9*1000)^0.5*V131*B127/1000</f>
        <v>3740.3468779786117</v>
      </c>
      <c r="W133" s="49" t="s">
        <v>8</v>
      </c>
    </row>
    <row r="134" spans="1:23" ht="18" x14ac:dyDescent="0.35">
      <c r="A134" s="68" t="s">
        <v>11</v>
      </c>
      <c r="B134" s="58">
        <f>4*(B127+C42)</f>
        <v>276</v>
      </c>
      <c r="C134" s="48" t="s">
        <v>0</v>
      </c>
      <c r="D134" s="49"/>
      <c r="E134" s="49"/>
      <c r="F134" s="49"/>
      <c r="G134" s="49"/>
      <c r="H134" s="49"/>
      <c r="I134" s="50"/>
      <c r="Q134" s="49" t="s">
        <v>11</v>
      </c>
      <c r="R134" s="49">
        <f>+B134</f>
        <v>276</v>
      </c>
      <c r="S134" s="49" t="s">
        <v>0</v>
      </c>
      <c r="T134" s="49"/>
      <c r="U134" s="45" t="s">
        <v>12</v>
      </c>
      <c r="V134" s="49">
        <f>+V133*0.85</f>
        <v>3179.2948462818199</v>
      </c>
      <c r="W134" s="49" t="s">
        <v>8</v>
      </c>
    </row>
    <row r="135" spans="1:23" ht="18" x14ac:dyDescent="0.35">
      <c r="A135" s="68" t="s">
        <v>2</v>
      </c>
      <c r="B135" s="58">
        <f>4*C42</f>
        <v>112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1581.129709369505</v>
      </c>
      <c r="P135" s="4" t="s">
        <v>5</v>
      </c>
      <c r="Q135" s="49" t="s">
        <v>2</v>
      </c>
      <c r="R135" s="49">
        <f>+B135</f>
        <v>112</v>
      </c>
      <c r="S135" s="49" t="s">
        <v>0</v>
      </c>
      <c r="T135" s="49"/>
      <c r="U135" s="45" t="s">
        <v>14</v>
      </c>
      <c r="V135" s="49">
        <f>+V127/V134</f>
        <v>0.94149282279810353</v>
      </c>
      <c r="W135" s="49"/>
    </row>
    <row r="136" spans="1:23" x14ac:dyDescent="0.25">
      <c r="A136" s="68" t="s">
        <v>6</v>
      </c>
      <c r="B136" s="58">
        <f>IF(2*B127/B130*(1+B127/C42)&lt;32,2*B127/B130*(1+B127/C42),32)</f>
        <v>28.867346938775508</v>
      </c>
      <c r="C136" s="48"/>
      <c r="D136" s="49" t="s">
        <v>9</v>
      </c>
      <c r="E136" s="49"/>
      <c r="F136" s="49"/>
      <c r="G136" s="49"/>
      <c r="H136" s="49"/>
      <c r="I136" s="50"/>
      <c r="Q136" s="49" t="s">
        <v>6</v>
      </c>
      <c r="R136" s="49">
        <f>IF(2*B127/R130*(1+B127/C42)&lt;32,2*B127/R130*(1+B127/C42),32)</f>
        <v>10.015435595332505</v>
      </c>
      <c r="S136" s="49"/>
      <c r="T136" s="49" t="s">
        <v>9</v>
      </c>
      <c r="U136" s="49"/>
    </row>
    <row r="137" spans="1:23" ht="18.75" x14ac:dyDescent="0.35">
      <c r="A137" s="68" t="s">
        <v>7</v>
      </c>
      <c r="B137" s="79">
        <f>+B136*(C9*1000)^0.5*B135*B127/1000</f>
        <v>7260.5476254247669</v>
      </c>
      <c r="C137" s="48" t="s">
        <v>18</v>
      </c>
      <c r="D137" s="49" t="s">
        <v>10</v>
      </c>
      <c r="E137" s="49"/>
      <c r="F137" s="49"/>
      <c r="G137" s="49"/>
      <c r="H137" s="49"/>
      <c r="I137" s="50"/>
      <c r="Q137" s="45" t="s">
        <v>7</v>
      </c>
      <c r="R137" s="49">
        <f>+R136*(C9*1000)^0.5*R135*B127/1000</f>
        <v>2519.0242554507031</v>
      </c>
      <c r="S137" s="49" t="s">
        <v>8</v>
      </c>
      <c r="T137" s="49" t="s">
        <v>10</v>
      </c>
      <c r="U137" s="49"/>
    </row>
    <row r="138" spans="1:23" ht="18" x14ac:dyDescent="0.35">
      <c r="A138" s="68" t="s">
        <v>12</v>
      </c>
      <c r="B138" s="79">
        <f>+B137*0.85</f>
        <v>6171.4654816110515</v>
      </c>
      <c r="C138" s="48" t="s">
        <v>18</v>
      </c>
      <c r="D138" s="49"/>
      <c r="E138" s="49"/>
      <c r="F138" s="49"/>
      <c r="G138" s="49"/>
      <c r="H138" s="49"/>
      <c r="I138" s="50"/>
      <c r="Q138" s="45" t="s">
        <v>12</v>
      </c>
      <c r="R138" s="49">
        <f>+R137*0.85</f>
        <v>2141.1706171330975</v>
      </c>
      <c r="S138" s="49" t="s">
        <v>8</v>
      </c>
      <c r="T138" s="49"/>
      <c r="U138" s="49"/>
    </row>
    <row r="139" spans="1:23" ht="18" x14ac:dyDescent="0.35">
      <c r="A139" s="68" t="s">
        <v>14</v>
      </c>
      <c r="B139" s="74">
        <f>+B131/B138</f>
        <v>0.48501985278088944</v>
      </c>
      <c r="C139" s="48"/>
      <c r="D139" s="110" t="s">
        <v>235</v>
      </c>
      <c r="F139" s="4" t="s">
        <v>14</v>
      </c>
      <c r="G139" s="88">
        <f>+(B139+R139)/2</f>
        <v>0.94149282279810342</v>
      </c>
      <c r="H139" s="49"/>
      <c r="I139" s="50"/>
      <c r="Q139" s="45" t="s">
        <v>14</v>
      </c>
      <c r="R139" s="49">
        <f>+R131/R138</f>
        <v>1.3979657928153175</v>
      </c>
      <c r="S139" s="49"/>
      <c r="T139" s="49"/>
      <c r="U139" s="49"/>
    </row>
    <row r="140" spans="1:23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23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23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23" x14ac:dyDescent="0.25">
      <c r="A143" s="68" t="s">
        <v>1</v>
      </c>
      <c r="B143" s="53">
        <f>+C20-C14-C15-P21/2</f>
        <v>41.5</v>
      </c>
      <c r="C143" s="48" t="s">
        <v>0</v>
      </c>
      <c r="D143" s="49"/>
      <c r="E143" s="49"/>
      <c r="F143" s="49"/>
      <c r="G143" s="49"/>
      <c r="H143" s="49"/>
      <c r="I143" s="50"/>
    </row>
    <row r="144" spans="1:23" x14ac:dyDescent="0.25">
      <c r="A144" s="68" t="s">
        <v>64</v>
      </c>
      <c r="B144" s="58">
        <f>+C17*12/2-C42/2+C11</f>
        <v>7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0.16867469879518071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3*1.6*C13-1.6*0.15*C21*C22*C20/12*((C21/2-C42/2/12)/C21)</f>
        <v>1120.2139270000002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1.6*C13*(1*B144)+1.6*C13*(2*(B144+C17/2*12))-1.6*0.15*C21*C22*C20/12*((C21/2-C42/2/12)/C21)*(C21/2-C42/2/12)*12/2</f>
        <v>21204.599430499999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2.1923959527210846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0.45612198780008395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2016.3150464906378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0.55557484875675234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40.436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+C17*12*0.866-C42/2+C11</f>
        <v>20.175999999999998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0.49896132159461859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3*1.6*C13-1.6*0.15*C21*C22*C20/12*((C22/2-C42/2/12)/C22)</f>
        <v>1121.1699730000003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1.6*C13*(3*B157)-1.6*0.15*C21*C22*C20/12*((C22/2-C42/2/12)/C22)*(C22/2-C42/2/12)*12/2</f>
        <v>22654.212950575398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2.0012007977119559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518.87786155128742</v>
      </c>
      <c r="P161" s="4" t="s">
        <v>5</v>
      </c>
    </row>
    <row r="162" spans="1:32" ht="18" x14ac:dyDescent="0.35">
      <c r="A162" s="68" t="s">
        <v>447</v>
      </c>
      <c r="B162" s="58">
        <f>1/B161</f>
        <v>0.49969998070325355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9.4733703120560886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2033.0923508187541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0.55146042556723496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41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13.004637962962963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20.5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53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6826.4795000000004</v>
      </c>
      <c r="U171" s="4" t="s">
        <v>35</v>
      </c>
    </row>
    <row r="172" spans="1:32" ht="18.75" x14ac:dyDescent="0.35">
      <c r="A172" s="45"/>
      <c r="B172" s="53">
        <f>+C65</f>
        <v>11</v>
      </c>
      <c r="C172" s="48" t="s">
        <v>71</v>
      </c>
      <c r="D172" s="83" t="str">
        <f>"#"&amp;+C23</f>
        <v>#9</v>
      </c>
      <c r="E172" s="49" t="s">
        <v>72</v>
      </c>
      <c r="F172" s="49" t="s">
        <v>73</v>
      </c>
      <c r="G172" s="57">
        <f>+C22-0.5</f>
        <v>8.1966000000000001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53.96241623183419</v>
      </c>
      <c r="AF172" s="4" t="s">
        <v>5</v>
      </c>
    </row>
    <row r="173" spans="1:32" ht="18.75" x14ac:dyDescent="0.35">
      <c r="A173" s="45"/>
      <c r="B173" s="55">
        <f>+B172*2</f>
        <v>22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1.3825050000000001</v>
      </c>
      <c r="H173" s="48" t="s">
        <v>74</v>
      </c>
      <c r="I173" s="50"/>
      <c r="Q173" s="4" t="s">
        <v>7</v>
      </c>
      <c r="R173" s="4">
        <f>+R172*T171/1000</f>
        <v>1495.6067241986352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410.01136169327555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1271.2657155688398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368.37332817708335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14</v>
      </c>
      <c r="C176" s="48" t="s">
        <v>71</v>
      </c>
      <c r="D176" s="83" t="str">
        <f>"#"&amp;+C24</f>
        <v>#8</v>
      </c>
      <c r="E176" s="49" t="s">
        <v>72</v>
      </c>
      <c r="F176" s="49" t="s">
        <v>73</v>
      </c>
      <c r="G176" s="57">
        <f>+C21-0.5</f>
        <v>9</v>
      </c>
      <c r="H176" s="48" t="s">
        <v>74</v>
      </c>
      <c r="I176" s="50"/>
      <c r="Q176" s="4" t="s">
        <v>14</v>
      </c>
      <c r="R176" s="4">
        <f>+R175/R174</f>
        <v>0.28976894732998543</v>
      </c>
    </row>
    <row r="177" spans="1:32" x14ac:dyDescent="0.25">
      <c r="A177" s="45"/>
      <c r="B177" s="55">
        <f>+B176*2</f>
        <v>28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1.0471666666666668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415.0877403182871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41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825.09910201156265</v>
      </c>
      <c r="D180" s="48" t="s">
        <v>78</v>
      </c>
      <c r="E180" s="49" t="s">
        <v>79</v>
      </c>
      <c r="F180" s="88">
        <f>+C180/2000</f>
        <v>0.41254955100578133</v>
      </c>
      <c r="G180" s="48" t="s">
        <v>19</v>
      </c>
      <c r="H180" s="49"/>
      <c r="I180" s="50"/>
      <c r="Q180" s="4" t="s">
        <v>54</v>
      </c>
      <c r="T180" s="4">
        <f>+T179/2</f>
        <v>20.5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72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166.49950000000001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9778.4795000000013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75.559633599179008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2142.3575201007357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1821.0038920856252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738.85832817708331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0.40574231136368244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41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20.5</v>
      </c>
      <c r="U192" s="4" t="s">
        <v>0</v>
      </c>
      <c r="W192" s="64"/>
    </row>
    <row r="193" spans="1:54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83.624875000000003</v>
      </c>
      <c r="U193" s="4" t="s">
        <v>0</v>
      </c>
      <c r="V193" s="64"/>
      <c r="W193" s="64"/>
    </row>
    <row r="194" spans="1:54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3428.6198750000003</v>
      </c>
      <c r="U194" s="4" t="s">
        <v>35</v>
      </c>
    </row>
    <row r="195" spans="1:54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107.64851325032664</v>
      </c>
      <c r="AF195" s="4" t="s">
        <v>5</v>
      </c>
    </row>
    <row r="196" spans="1:54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751.17297865921728</v>
      </c>
      <c r="S196" s="4" t="s">
        <v>8</v>
      </c>
      <c r="T196" s="4" t="s">
        <v>87</v>
      </c>
    </row>
    <row r="197" spans="1:54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638.49703186033469</v>
      </c>
      <c r="S197" s="4" t="s">
        <v>8</v>
      </c>
    </row>
    <row r="198" spans="1:54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369.08583204427083</v>
      </c>
      <c r="S198" s="4" t="s">
        <v>8</v>
      </c>
      <c r="T198" s="4" t="s">
        <v>350</v>
      </c>
    </row>
    <row r="199" spans="1:54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0.57805410773625165</v>
      </c>
      <c r="T199" s="4" t="s">
        <v>146</v>
      </c>
      <c r="V199" s="4">
        <f>+(C18*C18+C18*T170+3.1415*T170^2/4/4)/144</f>
        <v>14.621733289930555</v>
      </c>
      <c r="W199" s="4" t="s">
        <v>147</v>
      </c>
    </row>
    <row r="200" spans="1:54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54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54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41</v>
      </c>
      <c r="U202" s="4" t="s">
        <v>0</v>
      </c>
      <c r="V202" s="4" t="s">
        <v>53</v>
      </c>
      <c r="W202" s="64"/>
    </row>
    <row r="203" spans="1:54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54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97.3964</v>
      </c>
      <c r="U204" s="4" t="s">
        <v>0</v>
      </c>
      <c r="V204" s="64"/>
      <c r="W204" s="64"/>
    </row>
    <row r="205" spans="1:54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3993.2523999999999</v>
      </c>
      <c r="U205" s="4" t="s">
        <v>35</v>
      </c>
    </row>
    <row r="206" spans="1:54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91.955643270570377</v>
      </c>
      <c r="AF206" s="4" t="s">
        <v>5</v>
      </c>
    </row>
    <row r="207" spans="1:54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437.43888345832858</v>
      </c>
      <c r="S207" s="4" t="s">
        <v>8</v>
      </c>
      <c r="T207" s="4" t="s">
        <v>93</v>
      </c>
    </row>
    <row r="208" spans="1:54" ht="18" x14ac:dyDescent="0.35">
      <c r="J208" s="49"/>
      <c r="K208" s="49"/>
      <c r="L208" s="49"/>
      <c r="M208" s="49"/>
      <c r="N208" s="49"/>
      <c r="O208" s="49"/>
      <c r="P208" s="49"/>
      <c r="Q208" s="4" t="s">
        <v>12</v>
      </c>
      <c r="R208" s="4">
        <f>+R207*0.85</f>
        <v>371.82305093957928</v>
      </c>
      <c r="S208" s="4" t="s">
        <v>8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</row>
    <row r="209" spans="1:54" ht="18" x14ac:dyDescent="0.35">
      <c r="A209" s="4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" t="s">
        <v>58</v>
      </c>
      <c r="R209" s="4">
        <f>1.6*C13-1.6*(T204*0.7071/12*T204*0.7071/2/12)*C20/12*0.15</f>
        <v>367.20209318374901</v>
      </c>
      <c r="S209" s="4" t="s">
        <v>8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</row>
    <row r="210" spans="1:54" ht="18" x14ac:dyDescent="0.35">
      <c r="A210" s="4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" t="s">
        <v>14</v>
      </c>
      <c r="R210" s="4">
        <f>+R209/R208</f>
        <v>0.98757215900371609</v>
      </c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</row>
    <row r="211" spans="1:54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</row>
    <row r="212" spans="1:54" x14ac:dyDescent="0.25">
      <c r="A212" s="4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</row>
    <row r="213" spans="1:54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</row>
    <row r="214" spans="1:54" x14ac:dyDescent="0.25">
      <c r="A214" s="49"/>
      <c r="B214" s="49"/>
      <c r="C214" s="49"/>
      <c r="D214" s="49"/>
      <c r="E214" s="49"/>
      <c r="F214" s="49"/>
      <c r="G214" s="49"/>
      <c r="H214" s="49"/>
      <c r="I214" s="49"/>
    </row>
    <row r="215" spans="1:54" x14ac:dyDescent="0.25">
      <c r="A215" s="49"/>
      <c r="B215" s="49"/>
      <c r="C215" s="49"/>
      <c r="D215" s="49"/>
      <c r="E215" s="49"/>
      <c r="F215" s="49"/>
      <c r="G215" s="49"/>
      <c r="H215" s="49"/>
      <c r="I215" s="49"/>
    </row>
    <row r="216" spans="1:54" x14ac:dyDescent="0.25">
      <c r="A216" s="49"/>
      <c r="B216" s="49"/>
      <c r="C216" s="49"/>
      <c r="D216" s="49"/>
      <c r="E216" s="49"/>
      <c r="F216" s="49"/>
      <c r="G216" s="49"/>
      <c r="H216" s="49"/>
      <c r="I216" s="49"/>
    </row>
    <row r="217" spans="1:54" x14ac:dyDescent="0.25">
      <c r="A217" s="49"/>
      <c r="B217" s="49"/>
      <c r="C217" s="49"/>
      <c r="D217" s="49"/>
      <c r="E217" s="49"/>
      <c r="F217" s="49"/>
      <c r="G217" s="49"/>
      <c r="H217" s="49"/>
      <c r="I217" s="49"/>
    </row>
    <row r="218" spans="1:54" x14ac:dyDescent="0.25">
      <c r="A218" s="49"/>
      <c r="B218" s="49"/>
      <c r="C218" s="49"/>
      <c r="D218" s="49"/>
      <c r="E218" s="49"/>
      <c r="F218" s="49"/>
      <c r="G218" s="49"/>
      <c r="H218" s="49"/>
      <c r="I218" s="49"/>
    </row>
    <row r="261" spans="1:6" ht="18.75" x14ac:dyDescent="0.3">
      <c r="A261" s="63"/>
    </row>
    <row r="263" spans="1:6" x14ac:dyDescent="0.25">
      <c r="B263" s="64"/>
      <c r="D263" s="64"/>
    </row>
    <row r="264" spans="1:6" x14ac:dyDescent="0.25">
      <c r="B264" s="64"/>
      <c r="D264" s="64"/>
    </row>
    <row r="265" spans="1:6" x14ac:dyDescent="0.25">
      <c r="D265" s="64"/>
      <c r="F265" s="64"/>
    </row>
    <row r="266" spans="1:6" x14ac:dyDescent="0.25">
      <c r="D266" s="64"/>
      <c r="F266" s="64"/>
    </row>
    <row r="267" spans="1:6" x14ac:dyDescent="0.25">
      <c r="B267" s="64"/>
      <c r="C267" s="64"/>
      <c r="D267" s="64"/>
      <c r="E267" s="64"/>
      <c r="F267" s="64"/>
    </row>
    <row r="268" spans="1:6" x14ac:dyDescent="0.25">
      <c r="B268" s="64"/>
      <c r="C268" s="64"/>
      <c r="D268" s="64"/>
      <c r="E268" s="64"/>
      <c r="F268" s="64"/>
    </row>
    <row r="269" spans="1:6" x14ac:dyDescent="0.25">
      <c r="B269" s="64"/>
      <c r="C269" s="64"/>
      <c r="D269" s="64"/>
      <c r="E269" s="64"/>
    </row>
    <row r="273" spans="1:1" ht="18.75" x14ac:dyDescent="0.3">
      <c r="A273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3" max="37" man="1"/>
    <brk id="84" max="37" man="1"/>
    <brk id="125" max="37" man="1"/>
    <brk id="166" max="37" man="1"/>
    <brk id="207" max="37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227"/>
  <sheetViews>
    <sheetView zoomScaleNormal="100" workbookViewId="0"/>
  </sheetViews>
  <sheetFormatPr defaultRowHeight="15" x14ac:dyDescent="0.25"/>
  <cols>
    <col min="1" max="1" width="12" style="4" customWidth="1"/>
    <col min="2" max="2" width="14.5703125" style="4" customWidth="1"/>
    <col min="3" max="3" width="9.7109375" style="4" customWidth="1"/>
    <col min="4" max="6" width="9.140625" style="4"/>
    <col min="7" max="7" width="7.85546875" style="4" customWidth="1"/>
    <col min="8" max="9" width="9.140625" style="4"/>
    <col min="10" max="10" width="9.140625" style="4" hidden="1" customWidth="1"/>
    <col min="11" max="11" width="12.85546875" style="4" hidden="1" customWidth="1"/>
    <col min="12" max="12" width="15.5703125" style="4" hidden="1" customWidth="1"/>
    <col min="13" max="13" width="9.140625" style="4" hidden="1" customWidth="1"/>
    <col min="14" max="14" width="14.140625" style="4" hidden="1" customWidth="1"/>
    <col min="15" max="15" width="12.85546875" style="4" hidden="1" customWidth="1"/>
    <col min="16" max="27" width="9.140625" style="4" hidden="1" customWidth="1"/>
    <col min="28" max="28" width="27.85546875" style="4" hidden="1" customWidth="1"/>
    <col min="29" max="38" width="9.140625" style="4" hidden="1" customWidth="1"/>
    <col min="39" max="52" width="9.140625" style="4" customWidth="1"/>
    <col min="53" max="16384" width="9.140625" style="4"/>
  </cols>
  <sheetData>
    <row r="1" spans="1:17" ht="15.6" x14ac:dyDescent="0.35">
      <c r="A1" s="15" t="s">
        <v>203</v>
      </c>
      <c r="B1" s="16"/>
      <c r="C1" s="17"/>
      <c r="D1" s="17"/>
      <c r="E1" s="17"/>
      <c r="F1" s="17"/>
      <c r="G1" s="16"/>
      <c r="H1" s="16"/>
      <c r="I1" s="18"/>
      <c r="J1" s="19">
        <v>3</v>
      </c>
      <c r="K1" s="4">
        <v>60</v>
      </c>
      <c r="L1" s="4">
        <v>3</v>
      </c>
      <c r="M1" s="20" t="s">
        <v>102</v>
      </c>
      <c r="N1" s="4" t="s">
        <v>108</v>
      </c>
      <c r="O1" s="4">
        <v>3</v>
      </c>
      <c r="P1" s="4">
        <v>40</v>
      </c>
      <c r="Q1" s="4">
        <v>15</v>
      </c>
    </row>
    <row r="2" spans="1:17" ht="14.45" x14ac:dyDescent="0.35">
      <c r="A2" s="21" t="s">
        <v>100</v>
      </c>
      <c r="B2" s="22"/>
      <c r="C2" s="23"/>
      <c r="D2" s="22"/>
      <c r="E2" s="22"/>
      <c r="F2" s="22"/>
      <c r="G2" s="24"/>
      <c r="H2" s="24"/>
      <c r="I2" s="25"/>
      <c r="J2" s="19">
        <v>4</v>
      </c>
      <c r="L2" s="4">
        <v>4</v>
      </c>
      <c r="M2" s="20" t="s">
        <v>103</v>
      </c>
      <c r="N2" s="4" t="s">
        <v>109</v>
      </c>
      <c r="O2" s="4">
        <v>4</v>
      </c>
      <c r="P2" s="4">
        <v>50</v>
      </c>
      <c r="Q2" s="4">
        <v>15</v>
      </c>
    </row>
    <row r="3" spans="1:17" ht="14.45" x14ac:dyDescent="0.35">
      <c r="A3" s="26" t="s">
        <v>412</v>
      </c>
      <c r="B3" s="27"/>
      <c r="C3" s="27"/>
      <c r="D3" s="27"/>
      <c r="E3" s="27"/>
      <c r="F3" s="27"/>
      <c r="G3" s="28"/>
      <c r="H3" s="28"/>
      <c r="I3" s="29"/>
      <c r="L3" s="4">
        <v>5</v>
      </c>
      <c r="M3" s="20" t="s">
        <v>104</v>
      </c>
      <c r="O3" s="4">
        <v>5</v>
      </c>
      <c r="P3" s="4">
        <v>60</v>
      </c>
      <c r="Q3" s="4">
        <v>15</v>
      </c>
    </row>
    <row r="4" spans="1:17" x14ac:dyDescent="0.25">
      <c r="A4" s="30" t="s">
        <v>95</v>
      </c>
      <c r="B4" s="31"/>
      <c r="C4" s="32"/>
      <c r="D4" s="32"/>
      <c r="E4" s="32"/>
      <c r="F4" s="33" t="s">
        <v>96</v>
      </c>
      <c r="G4" s="34"/>
      <c r="H4" s="35"/>
      <c r="I4" s="36"/>
      <c r="L4" s="4">
        <v>6</v>
      </c>
      <c r="O4" s="4">
        <v>6</v>
      </c>
      <c r="P4" s="4">
        <v>80</v>
      </c>
      <c r="Q4" s="4">
        <v>21</v>
      </c>
    </row>
    <row r="5" spans="1:17" x14ac:dyDescent="0.25">
      <c r="A5" s="30" t="s">
        <v>97</v>
      </c>
      <c r="B5" s="37"/>
      <c r="C5" s="35"/>
      <c r="D5" s="35"/>
      <c r="E5" s="36"/>
      <c r="F5" s="38" t="s">
        <v>98</v>
      </c>
      <c r="G5" s="39"/>
      <c r="H5" s="40" t="s">
        <v>99</v>
      </c>
      <c r="I5" s="41"/>
      <c r="L5" s="4">
        <v>7</v>
      </c>
      <c r="O5" s="4">
        <v>7</v>
      </c>
      <c r="P5" s="4">
        <v>100</v>
      </c>
      <c r="Q5" s="4">
        <v>21</v>
      </c>
    </row>
    <row r="6" spans="1:17" x14ac:dyDescent="0.25">
      <c r="A6" s="42" t="s">
        <v>101</v>
      </c>
      <c r="B6" s="43"/>
      <c r="C6" s="43"/>
      <c r="D6" s="43"/>
      <c r="E6" s="43"/>
      <c r="F6" s="43"/>
      <c r="G6" s="43"/>
      <c r="H6" s="43"/>
      <c r="I6" s="44"/>
      <c r="L6" s="4">
        <v>8</v>
      </c>
      <c r="O6" s="4">
        <v>8</v>
      </c>
      <c r="P6" s="4">
        <v>120</v>
      </c>
      <c r="Q6" s="4">
        <v>21</v>
      </c>
    </row>
    <row r="7" spans="1:17" x14ac:dyDescent="0.25">
      <c r="A7" s="45"/>
      <c r="B7" s="46" t="s">
        <v>413</v>
      </c>
      <c r="C7" s="47" t="s">
        <v>103</v>
      </c>
      <c r="D7" s="48"/>
      <c r="E7" s="49"/>
      <c r="F7" s="49"/>
      <c r="G7" s="49"/>
      <c r="H7" s="49"/>
      <c r="I7" s="50"/>
      <c r="L7" s="4">
        <v>9</v>
      </c>
      <c r="O7" s="4">
        <v>9</v>
      </c>
      <c r="P7" s="4">
        <v>140</v>
      </c>
      <c r="Q7" s="4">
        <v>27</v>
      </c>
    </row>
    <row r="8" spans="1:17" ht="17.25" x14ac:dyDescent="0.25">
      <c r="A8" s="45"/>
      <c r="B8" s="46" t="s">
        <v>414</v>
      </c>
      <c r="C8" s="51" t="s">
        <v>108</v>
      </c>
      <c r="D8" s="48"/>
      <c r="E8" s="49"/>
      <c r="F8" s="49"/>
      <c r="G8" s="49"/>
      <c r="H8" s="49"/>
      <c r="I8" s="50"/>
      <c r="K8" s="4" t="s">
        <v>31</v>
      </c>
      <c r="L8" s="4" t="s">
        <v>32</v>
      </c>
      <c r="M8" s="4" t="s">
        <v>33</v>
      </c>
      <c r="N8" s="4" t="s">
        <v>135</v>
      </c>
      <c r="O8" s="4">
        <v>10</v>
      </c>
      <c r="P8" s="4">
        <v>160</v>
      </c>
      <c r="Q8" s="4">
        <v>27</v>
      </c>
    </row>
    <row r="9" spans="1:17" ht="18" x14ac:dyDescent="0.35">
      <c r="A9" s="45"/>
      <c r="B9" s="46" t="s">
        <v>415</v>
      </c>
      <c r="C9" s="51">
        <v>3</v>
      </c>
      <c r="D9" s="48" t="s">
        <v>21</v>
      </c>
      <c r="E9" s="49"/>
      <c r="F9" s="49"/>
      <c r="G9" s="49"/>
      <c r="H9" s="49"/>
      <c r="I9" s="50"/>
      <c r="K9" s="4">
        <v>3</v>
      </c>
      <c r="L9" s="4">
        <f>3/8</f>
        <v>0.375</v>
      </c>
      <c r="M9" s="4">
        <f>3.1415*L9^2/4</f>
        <v>0.11044335937500001</v>
      </c>
      <c r="N9" s="4">
        <f t="shared" ref="N9:N14" si="0">-4*L9+3.1415*4*L9+MAX(4*L9,2.5)</f>
        <v>5.71225</v>
      </c>
      <c r="O9" s="4">
        <v>11</v>
      </c>
      <c r="P9" s="4">
        <v>180</v>
      </c>
      <c r="Q9" s="4">
        <v>27</v>
      </c>
    </row>
    <row r="10" spans="1:17" ht="18" x14ac:dyDescent="0.35">
      <c r="A10" s="45"/>
      <c r="B10" s="46" t="s">
        <v>416</v>
      </c>
      <c r="C10" s="51">
        <v>60</v>
      </c>
      <c r="D10" s="48" t="s">
        <v>21</v>
      </c>
      <c r="E10" s="49"/>
      <c r="F10" s="49"/>
      <c r="G10" s="49"/>
      <c r="H10" s="49"/>
      <c r="I10" s="50"/>
      <c r="K10" s="4">
        <v>4</v>
      </c>
      <c r="L10" s="4">
        <f>4/8</f>
        <v>0.5</v>
      </c>
      <c r="M10" s="4">
        <f t="shared" ref="M10:M16" si="1">3.1415*L10^2/4</f>
        <v>0.19634375000000001</v>
      </c>
      <c r="N10" s="4">
        <f t="shared" si="0"/>
        <v>6.7830000000000004</v>
      </c>
      <c r="O10" s="4">
        <v>14</v>
      </c>
      <c r="P10" s="4">
        <v>200</v>
      </c>
      <c r="Q10" s="4">
        <v>27</v>
      </c>
    </row>
    <row r="11" spans="1:17" x14ac:dyDescent="0.25">
      <c r="A11" s="45"/>
      <c r="B11" s="46" t="s">
        <v>417</v>
      </c>
      <c r="C11" s="51">
        <v>3</v>
      </c>
      <c r="D11" s="48" t="s">
        <v>0</v>
      </c>
      <c r="E11" s="49"/>
      <c r="F11" s="49"/>
      <c r="G11" s="49"/>
      <c r="H11" s="49"/>
      <c r="I11" s="50"/>
      <c r="K11" s="4">
        <v>5</v>
      </c>
      <c r="L11" s="4">
        <f>5/8</f>
        <v>0.625</v>
      </c>
      <c r="M11" s="4">
        <f t="shared" si="1"/>
        <v>0.30678710937500003</v>
      </c>
      <c r="N11" s="4">
        <f t="shared" si="0"/>
        <v>7.8537500000000007</v>
      </c>
      <c r="O11" s="4">
        <v>3</v>
      </c>
      <c r="P11" s="4">
        <v>240</v>
      </c>
      <c r="Q11" s="4">
        <v>30</v>
      </c>
    </row>
    <row r="12" spans="1:17" x14ac:dyDescent="0.25">
      <c r="A12" s="45"/>
      <c r="B12" s="46" t="s">
        <v>418</v>
      </c>
      <c r="C12" s="52">
        <v>400</v>
      </c>
      <c r="D12" s="48" t="s">
        <v>19</v>
      </c>
      <c r="E12" s="49"/>
      <c r="F12" s="49"/>
      <c r="G12" s="49"/>
      <c r="H12" s="49"/>
      <c r="I12" s="50"/>
      <c r="K12" s="4">
        <v>6</v>
      </c>
      <c r="L12" s="4">
        <f>6/8</f>
        <v>0.75</v>
      </c>
      <c r="M12" s="4">
        <f t="shared" si="1"/>
        <v>0.44177343750000003</v>
      </c>
      <c r="N12" s="4">
        <f t="shared" si="0"/>
        <v>9.4245000000000001</v>
      </c>
      <c r="O12" s="4">
        <v>4</v>
      </c>
      <c r="P12" s="4">
        <v>280</v>
      </c>
      <c r="Q12" s="4">
        <v>30</v>
      </c>
    </row>
    <row r="13" spans="1:17" x14ac:dyDescent="0.25">
      <c r="A13" s="45"/>
      <c r="B13" s="46" t="s">
        <v>418</v>
      </c>
      <c r="C13" s="53">
        <f>+C12*2</f>
        <v>800</v>
      </c>
      <c r="D13" s="48" t="s">
        <v>18</v>
      </c>
      <c r="E13" s="49"/>
      <c r="F13" s="49"/>
      <c r="G13" s="49"/>
      <c r="H13" s="49"/>
      <c r="I13" s="50"/>
      <c r="K13" s="4">
        <v>7</v>
      </c>
      <c r="L13" s="4">
        <f>7/8</f>
        <v>0.875</v>
      </c>
      <c r="M13" s="4">
        <f t="shared" si="1"/>
        <v>0.60130273437500004</v>
      </c>
      <c r="N13" s="4">
        <f t="shared" si="0"/>
        <v>10.99525</v>
      </c>
      <c r="O13" s="4">
        <v>5</v>
      </c>
      <c r="P13" s="4">
        <v>320</v>
      </c>
      <c r="Q13" s="4">
        <v>36</v>
      </c>
    </row>
    <row r="14" spans="1:17" x14ac:dyDescent="0.25">
      <c r="A14" s="45"/>
      <c r="B14" s="46" t="s">
        <v>419</v>
      </c>
      <c r="C14" s="54">
        <f>IF(C7="Steel",M23,4)</f>
        <v>6</v>
      </c>
      <c r="D14" s="48" t="s">
        <v>0</v>
      </c>
      <c r="E14" s="49"/>
      <c r="F14" s="49"/>
      <c r="G14" s="49"/>
      <c r="H14" s="49"/>
      <c r="I14" s="50"/>
      <c r="K14" s="4">
        <v>8</v>
      </c>
      <c r="L14" s="4">
        <f>8/8</f>
        <v>1</v>
      </c>
      <c r="M14" s="4">
        <f t="shared" si="1"/>
        <v>0.78537500000000005</v>
      </c>
      <c r="N14" s="4">
        <f t="shared" si="0"/>
        <v>12.566000000000001</v>
      </c>
      <c r="P14" s="4">
        <v>360</v>
      </c>
      <c r="Q14" s="4">
        <v>36</v>
      </c>
    </row>
    <row r="15" spans="1:17" x14ac:dyDescent="0.25">
      <c r="A15" s="45"/>
      <c r="B15" s="46" t="s">
        <v>420</v>
      </c>
      <c r="C15" s="47">
        <v>3</v>
      </c>
      <c r="D15" s="48" t="s">
        <v>0</v>
      </c>
      <c r="E15" s="49"/>
      <c r="F15" s="49"/>
      <c r="G15" s="49"/>
      <c r="H15" s="49"/>
      <c r="I15" s="50"/>
      <c r="K15" s="4">
        <v>9</v>
      </c>
      <c r="L15" s="4">
        <v>1.1279999999999999</v>
      </c>
      <c r="M15" s="4">
        <f t="shared" si="1"/>
        <v>0.99929858399999982</v>
      </c>
      <c r="N15" s="4">
        <f>-5*L15+3.1415*5*L15+MAX(4*L15,2.5)</f>
        <v>16.590060000000001</v>
      </c>
      <c r="P15" s="4">
        <v>400</v>
      </c>
      <c r="Q15" s="4">
        <v>36</v>
      </c>
    </row>
    <row r="16" spans="1:17" ht="18" x14ac:dyDescent="0.35">
      <c r="A16" s="45"/>
      <c r="B16" s="46" t="s">
        <v>111</v>
      </c>
      <c r="C16" s="52">
        <v>20</v>
      </c>
      <c r="D16" s="48" t="s">
        <v>0</v>
      </c>
      <c r="E16" s="49"/>
      <c r="F16" s="49"/>
      <c r="G16" s="49"/>
      <c r="H16" s="49"/>
      <c r="I16" s="50"/>
      <c r="K16" s="4">
        <v>10</v>
      </c>
      <c r="L16" s="4">
        <v>1.27</v>
      </c>
      <c r="M16" s="4">
        <f t="shared" si="1"/>
        <v>1.2667313375</v>
      </c>
      <c r="N16" s="4">
        <f t="shared" ref="N16:N18" si="2">-5*L16+3.1415*5*L16+MAX(4*L16,2.5)</f>
        <v>18.678525000000004</v>
      </c>
    </row>
    <row r="17" spans="1:17" x14ac:dyDescent="0.25">
      <c r="A17" s="45"/>
      <c r="B17" s="46" t="s">
        <v>421</v>
      </c>
      <c r="C17" s="53">
        <f>MAX(3,2+C16/12,3*C16/12)</f>
        <v>5</v>
      </c>
      <c r="D17" s="48" t="s">
        <v>422</v>
      </c>
      <c r="E17" s="49"/>
      <c r="F17" s="49"/>
      <c r="G17" s="49"/>
      <c r="H17" s="49"/>
      <c r="I17" s="50"/>
      <c r="K17" s="4">
        <v>11</v>
      </c>
      <c r="L17" s="4">
        <v>1.41</v>
      </c>
      <c r="M17" s="4">
        <f>3.1415*L17^2/4</f>
        <v>1.5614040375</v>
      </c>
      <c r="N17" s="4">
        <f t="shared" si="2"/>
        <v>20.737575</v>
      </c>
    </row>
    <row r="18" spans="1:17" x14ac:dyDescent="0.25">
      <c r="A18" s="45"/>
      <c r="B18" s="46" t="s">
        <v>423</v>
      </c>
      <c r="C18" s="55">
        <f>+IF(C12&lt;61,15,IF(C12&lt;121,21,IF(C12&lt;201,27,IF(C12&lt;281,30,36))))</f>
        <v>36</v>
      </c>
      <c r="D18" s="48" t="s">
        <v>0</v>
      </c>
      <c r="E18" s="49"/>
      <c r="F18" s="49"/>
      <c r="G18" s="49"/>
      <c r="H18" s="49"/>
      <c r="I18" s="50"/>
      <c r="K18" s="4">
        <v>14</v>
      </c>
      <c r="L18" s="4">
        <v>1.6930000000000001</v>
      </c>
      <c r="M18" s="4">
        <f>3.1415*L18^2/4</f>
        <v>2.2510803083750002</v>
      </c>
      <c r="N18" s="4">
        <f t="shared" si="2"/>
        <v>24.899797500000005</v>
      </c>
    </row>
    <row r="19" spans="1:17" ht="18" x14ac:dyDescent="0.35">
      <c r="A19" s="45"/>
      <c r="B19" s="46" t="s">
        <v>424</v>
      </c>
      <c r="C19" s="54">
        <f>17+30/200*C12</f>
        <v>77</v>
      </c>
      <c r="D19" s="48" t="s">
        <v>0</v>
      </c>
      <c r="E19" s="49"/>
      <c r="F19" s="49"/>
      <c r="G19" s="49"/>
      <c r="H19" s="49"/>
      <c r="I19" s="50"/>
      <c r="L19" s="4" t="s">
        <v>136</v>
      </c>
      <c r="M19" s="4">
        <f>+IF(C23=K9,N9,IF(C23=K10,N10,IF(C23=K11,N11,IF(C23=K12,N12,IF(C23=K13,N13,IF(C23=K14,N14,IF(C23=K15,N15,IF(C23=K16,N16,IF(C23=K17,N17,IF(C23=K18,N18,"NG"))))))))))</f>
        <v>24.899797500000005</v>
      </c>
    </row>
    <row r="20" spans="1:17" ht="18" x14ac:dyDescent="0.35">
      <c r="A20" s="45"/>
      <c r="B20" s="46" t="s">
        <v>425</v>
      </c>
      <c r="C20" s="56">
        <v>90</v>
      </c>
      <c r="D20" s="48" t="s">
        <v>0</v>
      </c>
      <c r="E20" s="49"/>
      <c r="F20" s="49"/>
      <c r="G20" s="49"/>
      <c r="H20" s="49"/>
      <c r="I20" s="50"/>
      <c r="L20" s="4" t="s">
        <v>137</v>
      </c>
      <c r="M20" s="4">
        <f>+IF(C24=K9,N9,IF(C24=K10,N10,IF(C24=K11,N11,IF(C24=K12,N12,IF(C24=K13,N13,IF(C24=K14,N14,IF(C24=K15,N15,IF(C24=K16,N16,IF(C24=K17,N17,IF(C24=K18,N18,"NG"))))))))))</f>
        <v>24.899797500000005</v>
      </c>
    </row>
    <row r="21" spans="1:17" x14ac:dyDescent="0.25">
      <c r="A21" s="45"/>
      <c r="B21" s="46" t="s">
        <v>426</v>
      </c>
      <c r="C21" s="53">
        <f>2*C18/12+2*C17</f>
        <v>16</v>
      </c>
      <c r="D21" s="48" t="s">
        <v>422</v>
      </c>
      <c r="E21" s="49"/>
      <c r="F21" s="49"/>
      <c r="G21" s="49"/>
      <c r="H21" s="49"/>
      <c r="I21" s="50"/>
      <c r="J21" s="4" t="s">
        <v>34</v>
      </c>
      <c r="L21" s="4">
        <f>+IF(C23&lt;9,(C23/8),IF(C23=9,1.128,IF(C23=10,1.27,IF(C23=11,1.41,IF(C23=14,1.693,0)))))</f>
        <v>1.6930000000000001</v>
      </c>
      <c r="M21" s="4" t="s">
        <v>20</v>
      </c>
      <c r="N21" s="4" t="s">
        <v>37</v>
      </c>
      <c r="P21" s="4">
        <f>+IF(C24&lt;9,(C24/8),IF(C24=9,1.128,IF(C24=10,1.27,IF(C24=11,1.41,IF(C24=14,1.693,0)))))</f>
        <v>1.6930000000000001</v>
      </c>
      <c r="Q21" s="4" t="s">
        <v>20</v>
      </c>
    </row>
    <row r="22" spans="1:17" ht="17.25" x14ac:dyDescent="0.25">
      <c r="A22" s="45"/>
      <c r="B22" s="46" t="s">
        <v>427</v>
      </c>
      <c r="C22" s="54">
        <f>2*C18/12+2*C17</f>
        <v>16</v>
      </c>
      <c r="D22" s="48" t="s">
        <v>422</v>
      </c>
      <c r="E22" s="49"/>
      <c r="F22" s="49"/>
      <c r="G22" s="49"/>
      <c r="H22" s="49"/>
      <c r="I22" s="50"/>
      <c r="J22" s="4" t="s">
        <v>36</v>
      </c>
      <c r="L22" s="4">
        <f>3.1415*L21^2/4</f>
        <v>2.2510803083750002</v>
      </c>
      <c r="M22" s="4" t="s">
        <v>35</v>
      </c>
      <c r="N22" s="4" t="s">
        <v>38</v>
      </c>
      <c r="P22" s="4">
        <f>3.1415*P21^2/4</f>
        <v>2.2510803083750002</v>
      </c>
      <c r="Q22" s="4" t="s">
        <v>35</v>
      </c>
    </row>
    <row r="23" spans="1:17" x14ac:dyDescent="0.25">
      <c r="A23" s="45"/>
      <c r="B23" s="46" t="s">
        <v>428</v>
      </c>
      <c r="C23" s="47">
        <v>14</v>
      </c>
      <c r="D23" s="48"/>
      <c r="E23" s="49"/>
      <c r="F23" s="49"/>
      <c r="G23" s="49"/>
      <c r="H23" s="49"/>
      <c r="I23" s="50"/>
      <c r="J23" s="4" t="s">
        <v>110</v>
      </c>
      <c r="M23" s="4">
        <v>6</v>
      </c>
    </row>
    <row r="24" spans="1:17" x14ac:dyDescent="0.25">
      <c r="A24" s="45"/>
      <c r="B24" s="46" t="s">
        <v>429</v>
      </c>
      <c r="C24" s="52">
        <v>14</v>
      </c>
      <c r="D24" s="48"/>
      <c r="E24" s="49"/>
      <c r="F24" s="49"/>
      <c r="G24" s="49"/>
      <c r="H24" s="49"/>
      <c r="I24" s="50"/>
    </row>
    <row r="25" spans="1:17" ht="18" x14ac:dyDescent="0.35">
      <c r="A25" s="45"/>
      <c r="B25" s="46" t="s">
        <v>430</v>
      </c>
      <c r="C25" s="57">
        <f>+C20-C14-C15-P21-0.5*L21</f>
        <v>78.460499999999996</v>
      </c>
      <c r="D25" s="48" t="s">
        <v>0</v>
      </c>
      <c r="E25" s="49"/>
      <c r="F25" s="49"/>
      <c r="G25" s="49"/>
      <c r="H25" s="49"/>
      <c r="I25" s="50"/>
      <c r="J25" s="4" t="s">
        <v>112</v>
      </c>
    </row>
    <row r="26" spans="1:17" ht="18" x14ac:dyDescent="0.35">
      <c r="A26" s="45"/>
      <c r="B26" s="46" t="s">
        <v>431</v>
      </c>
      <c r="C26" s="58">
        <f>+C20-C14-C15-P21/2</f>
        <v>80.153499999999994</v>
      </c>
      <c r="D26" s="48" t="s">
        <v>0</v>
      </c>
      <c r="E26" s="49"/>
      <c r="F26" s="49"/>
      <c r="G26" s="49"/>
      <c r="H26" s="49"/>
      <c r="I26" s="50"/>
    </row>
    <row r="27" spans="1:17" ht="18" x14ac:dyDescent="0.35">
      <c r="A27" s="45"/>
      <c r="B27" s="46" t="s">
        <v>432</v>
      </c>
      <c r="C27" s="54">
        <f>+C20-C14-C15-1</f>
        <v>80</v>
      </c>
      <c r="D27" s="48" t="s">
        <v>0</v>
      </c>
      <c r="E27" s="49"/>
      <c r="F27" s="49"/>
      <c r="G27" s="49"/>
      <c r="H27" s="49"/>
      <c r="I27" s="50"/>
      <c r="J27" s="4" t="s">
        <v>116</v>
      </c>
      <c r="L27" s="4">
        <f>+(C16*C16*4/3.1415)^0.5</f>
        <v>22.567916137102415</v>
      </c>
    </row>
    <row r="28" spans="1:17" x14ac:dyDescent="0.25">
      <c r="A28" s="59" t="str">
        <f>+IF(C12&gt;200,"High capacity pile selected - special details required - see CRSI Pile Cap Design Guide", "")</f>
        <v>High capacity pile selected - special details required - see CRSI Pile Cap Design Guide</v>
      </c>
      <c r="B28" s="60"/>
      <c r="C28" s="60"/>
      <c r="D28" s="60"/>
      <c r="E28" s="60"/>
      <c r="F28" s="60"/>
      <c r="G28" s="60"/>
      <c r="H28" s="60"/>
      <c r="I28" s="61"/>
    </row>
    <row r="29" spans="1:17" x14ac:dyDescent="0.25">
      <c r="A29" s="42" t="s">
        <v>113</v>
      </c>
      <c r="B29" s="49"/>
      <c r="C29" s="49"/>
      <c r="D29" s="49"/>
      <c r="E29" s="49"/>
      <c r="F29" s="49"/>
      <c r="G29" s="49"/>
      <c r="H29" s="49"/>
      <c r="I29" s="50"/>
      <c r="J29" s="4" t="s">
        <v>115</v>
      </c>
      <c r="M29" s="4">
        <f>+IF(C8="Round",C16,L27)</f>
        <v>20</v>
      </c>
    </row>
    <row r="30" spans="1:17" x14ac:dyDescent="0.25">
      <c r="A30" s="45" t="s">
        <v>123</v>
      </c>
      <c r="B30" s="49"/>
      <c r="C30" s="49"/>
      <c r="D30" s="49"/>
      <c r="E30" s="62" t="str">
        <f>+IF(C63&gt;C61,"NG; select smaller bar size","OK")</f>
        <v>OK</v>
      </c>
      <c r="F30" s="49"/>
      <c r="G30" s="49"/>
      <c r="H30" s="49"/>
      <c r="I30" s="50"/>
    </row>
    <row r="31" spans="1:17" ht="18.75" x14ac:dyDescent="0.3">
      <c r="A31" s="45" t="s">
        <v>124</v>
      </c>
      <c r="B31" s="49"/>
      <c r="C31" s="49"/>
      <c r="D31" s="49"/>
      <c r="E31" s="62" t="str">
        <f>+IF(C81&gt;C79,"NG; select smaller bar size","OK")</f>
        <v>OK</v>
      </c>
      <c r="F31" s="49"/>
      <c r="G31" s="49"/>
      <c r="H31" s="49"/>
      <c r="I31" s="50"/>
      <c r="J31" s="63" t="s">
        <v>84</v>
      </c>
    </row>
    <row r="32" spans="1:17" x14ac:dyDescent="0.25">
      <c r="A32" s="45" t="s">
        <v>125</v>
      </c>
      <c r="B32" s="49"/>
      <c r="C32" s="62" t="str">
        <f>+IF(B94&lt;1,"OK","NG")</f>
        <v>OK</v>
      </c>
      <c r="D32" s="49"/>
      <c r="E32" s="49"/>
      <c r="F32" s="49"/>
      <c r="G32" s="49"/>
      <c r="H32" s="49"/>
      <c r="I32" s="50"/>
      <c r="J32" s="4" t="s">
        <v>1</v>
      </c>
      <c r="M32" s="4">
        <f>+C27</f>
        <v>80</v>
      </c>
      <c r="N32" s="4" t="s">
        <v>0</v>
      </c>
      <c r="O32" s="4" t="s">
        <v>53</v>
      </c>
      <c r="P32" s="64"/>
    </row>
    <row r="33" spans="1:25" x14ac:dyDescent="0.25">
      <c r="A33" s="45" t="s">
        <v>126</v>
      </c>
      <c r="B33" s="49"/>
      <c r="C33" s="62" t="str">
        <f>+IF(B105&lt;1,"OK","NG")</f>
        <v>OK</v>
      </c>
      <c r="D33" s="49"/>
      <c r="E33" s="49"/>
      <c r="F33" s="49"/>
      <c r="G33" s="46" t="s">
        <v>343</v>
      </c>
      <c r="H33" s="62" t="str">
        <f>+IF(R176&lt;1,"OK","NG")</f>
        <v>OK</v>
      </c>
      <c r="I33" s="50"/>
      <c r="J33" s="4" t="s">
        <v>54</v>
      </c>
      <c r="M33" s="4">
        <f>+M32/2</f>
        <v>40</v>
      </c>
      <c r="N33" s="4" t="s">
        <v>0</v>
      </c>
      <c r="P33" s="64"/>
    </row>
    <row r="34" spans="1:25" x14ac:dyDescent="0.25">
      <c r="A34" s="45" t="s">
        <v>127</v>
      </c>
      <c r="B34" s="49"/>
      <c r="C34" s="62" t="str">
        <f>+IF(B116&lt;1,"OK","NG")</f>
        <v>OK</v>
      </c>
      <c r="D34" s="49"/>
      <c r="E34" s="49"/>
      <c r="F34" s="49"/>
      <c r="G34" s="46" t="s">
        <v>344</v>
      </c>
      <c r="H34" s="62" t="str">
        <f>+IF(R188&lt;1,"OK","NG")</f>
        <v>OK</v>
      </c>
      <c r="I34" s="50"/>
      <c r="J34" s="4" t="s">
        <v>114</v>
      </c>
      <c r="K34" s="64"/>
      <c r="M34" s="64">
        <f>+M29+M32</f>
        <v>100</v>
      </c>
      <c r="N34" s="4" t="s">
        <v>0</v>
      </c>
      <c r="O34" s="64"/>
      <c r="P34" s="64"/>
    </row>
    <row r="35" spans="1:25" ht="17.25" x14ac:dyDescent="0.25">
      <c r="A35" s="45" t="s">
        <v>128</v>
      </c>
      <c r="B35" s="49"/>
      <c r="C35" s="62" t="str">
        <f>+IF(B130&gt;B128,"Not applicable",IF(B139&lt;1,"OK","NG"))</f>
        <v>NG</v>
      </c>
      <c r="D35" s="49"/>
      <c r="E35" s="49"/>
      <c r="F35" s="49"/>
      <c r="G35" s="46" t="s">
        <v>345</v>
      </c>
      <c r="H35" s="62" t="str">
        <f>+IF(R199&lt;1,"OK","NG")</f>
        <v>OK</v>
      </c>
      <c r="I35" s="50"/>
      <c r="J35" s="4" t="s">
        <v>85</v>
      </c>
      <c r="K35" s="64"/>
      <c r="L35" s="64"/>
      <c r="M35" s="64">
        <f>+M34*3.1415*M32</f>
        <v>25132.000000000004</v>
      </c>
      <c r="N35" s="4" t="s">
        <v>35</v>
      </c>
    </row>
    <row r="36" spans="1:25" ht="18.75" x14ac:dyDescent="0.35">
      <c r="A36" s="45" t="s">
        <v>129</v>
      </c>
      <c r="B36" s="49"/>
      <c r="C36" s="62" t="str">
        <f>+IF(B152&lt;1,"OK","NG")</f>
        <v>OK</v>
      </c>
      <c r="D36" s="49"/>
      <c r="E36" s="49"/>
      <c r="F36" s="49"/>
      <c r="G36" s="46" t="s">
        <v>346</v>
      </c>
      <c r="H36" s="62" t="str">
        <f>+IF(R210&lt;1,"OK","NG")</f>
        <v>NG</v>
      </c>
      <c r="I36" s="50"/>
      <c r="J36" s="4" t="s">
        <v>3</v>
      </c>
      <c r="K36" s="4">
        <f>4*(C9*1000)^0.5</f>
        <v>219.08902300206645</v>
      </c>
      <c r="L36" s="4" t="s">
        <v>5</v>
      </c>
      <c r="U36" s="4" t="s">
        <v>86</v>
      </c>
      <c r="X36" s="4">
        <f>+K39/M35*1000</f>
        <v>47.024833877128756</v>
      </c>
      <c r="Y36" s="4" t="s">
        <v>5</v>
      </c>
    </row>
    <row r="37" spans="1:25" ht="18.75" x14ac:dyDescent="0.35">
      <c r="A37" s="65" t="s">
        <v>130</v>
      </c>
      <c r="B37" s="60"/>
      <c r="C37" s="66" t="str">
        <f>+IF(B165&lt;1,"OK","NG")</f>
        <v>OK</v>
      </c>
      <c r="D37" s="60"/>
      <c r="E37" s="60"/>
      <c r="F37" s="60"/>
      <c r="G37" s="60"/>
      <c r="H37" s="60"/>
      <c r="I37" s="61"/>
      <c r="J37" s="4" t="s">
        <v>7</v>
      </c>
      <c r="K37" s="4">
        <f>+K36*M35/1000</f>
        <v>5506.1453260879352</v>
      </c>
      <c r="L37" s="4" t="s">
        <v>8</v>
      </c>
      <c r="M37" s="4" t="s">
        <v>87</v>
      </c>
    </row>
    <row r="38" spans="1:25" ht="18" x14ac:dyDescent="0.35">
      <c r="A38" s="42" t="s">
        <v>106</v>
      </c>
      <c r="B38" s="49"/>
      <c r="C38" s="49"/>
      <c r="D38" s="49"/>
      <c r="E38" s="49"/>
      <c r="F38" s="49"/>
      <c r="G38" s="49"/>
      <c r="H38" s="49"/>
      <c r="I38" s="50"/>
      <c r="J38" s="4" t="s">
        <v>12</v>
      </c>
      <c r="K38" s="4">
        <f>+K37*0.85</f>
        <v>4680.223527174745</v>
      </c>
      <c r="L38" s="4" t="s">
        <v>8</v>
      </c>
    </row>
    <row r="39" spans="1:25" ht="19.5" x14ac:dyDescent="0.35">
      <c r="A39" s="67" t="s">
        <v>107</v>
      </c>
      <c r="B39" s="49"/>
      <c r="C39" s="49"/>
      <c r="D39" s="49"/>
      <c r="E39" s="49"/>
      <c r="F39" s="49"/>
      <c r="G39" s="49"/>
      <c r="H39" s="49"/>
      <c r="I39" s="50"/>
      <c r="J39" s="4" t="s">
        <v>58</v>
      </c>
      <c r="K39" s="4">
        <f>1.6*C13-1.6*3.1415/4*M34/12*M34/12*C20/12*0.15</f>
        <v>1181.828125</v>
      </c>
      <c r="L39" s="4" t="s">
        <v>8</v>
      </c>
      <c r="M39" s="4" t="s">
        <v>350</v>
      </c>
    </row>
    <row r="40" spans="1:25" ht="18" x14ac:dyDescent="0.35">
      <c r="A40" s="45"/>
      <c r="B40" s="46" t="s">
        <v>23</v>
      </c>
      <c r="C40" s="69">
        <f>1.6*9*C13-1.6*C21*C22*C20/12*0.15</f>
        <v>11059.2</v>
      </c>
      <c r="D40" s="48" t="s">
        <v>18</v>
      </c>
      <c r="E40" s="49" t="s">
        <v>117</v>
      </c>
      <c r="F40" s="49"/>
      <c r="G40" s="49"/>
      <c r="H40" s="49"/>
      <c r="I40" s="50"/>
      <c r="J40" s="4" t="s">
        <v>14</v>
      </c>
      <c r="K40" s="4">
        <f>+K39/K38</f>
        <v>0.25251531644545622</v>
      </c>
    </row>
    <row r="41" spans="1:25" x14ac:dyDescent="0.25">
      <c r="A41" s="45"/>
      <c r="B41" s="46" t="s">
        <v>433</v>
      </c>
      <c r="C41" s="58">
        <f>+(C40/4)^0.5</f>
        <v>52.58136552049595</v>
      </c>
      <c r="D41" s="48" t="s">
        <v>0</v>
      </c>
      <c r="E41" s="49"/>
      <c r="F41" s="49"/>
      <c r="G41" s="49"/>
      <c r="H41" s="49"/>
      <c r="I41" s="50"/>
    </row>
    <row r="42" spans="1:25" x14ac:dyDescent="0.25">
      <c r="A42" s="45"/>
      <c r="B42" s="46" t="s">
        <v>24</v>
      </c>
      <c r="C42" s="54">
        <f>MAX(ROUNDUP(C41,0),10)</f>
        <v>53</v>
      </c>
      <c r="D42" s="48" t="s">
        <v>0</v>
      </c>
      <c r="E42" s="49"/>
      <c r="F42" s="49"/>
      <c r="G42" s="49"/>
      <c r="H42" s="49"/>
      <c r="I42" s="50"/>
    </row>
    <row r="43" spans="1:25" x14ac:dyDescent="0.25">
      <c r="A43" s="65"/>
      <c r="B43" s="60"/>
      <c r="C43" s="60"/>
      <c r="D43" s="60"/>
      <c r="E43" s="60"/>
      <c r="F43" s="60"/>
      <c r="G43" s="60"/>
      <c r="H43" s="60"/>
      <c r="I43" s="70" t="s">
        <v>434</v>
      </c>
    </row>
    <row r="44" spans="1:25" ht="18.75" x14ac:dyDescent="0.3">
      <c r="A44" s="71" t="s">
        <v>25</v>
      </c>
      <c r="B44" s="72"/>
      <c r="C44" s="72"/>
      <c r="D44" s="72"/>
      <c r="E44" s="72"/>
      <c r="F44" s="72"/>
      <c r="G44" s="72"/>
      <c r="H44" s="72"/>
      <c r="I44" s="73"/>
    </row>
    <row r="45" spans="1:25" ht="18" x14ac:dyDescent="0.35">
      <c r="A45" s="45"/>
      <c r="B45" s="46" t="s">
        <v>26</v>
      </c>
      <c r="C45" s="69">
        <f>1.6*C13*(3*(C17*12+C11-C42/4))-1.6*(C22/2-C42/12/4)*C21*C20/12*0.15*(C22/2-C42/12/4)*12/2</f>
        <v>182822.92499999999</v>
      </c>
      <c r="D45" s="48" t="s">
        <v>27</v>
      </c>
      <c r="E45" s="49" t="s">
        <v>118</v>
      </c>
      <c r="F45" s="49"/>
      <c r="G45" s="49"/>
      <c r="H45" s="49"/>
      <c r="I45" s="50"/>
    </row>
    <row r="46" spans="1:25" ht="18" x14ac:dyDescent="0.35">
      <c r="A46" s="45"/>
      <c r="B46" s="46" t="s">
        <v>26</v>
      </c>
      <c r="C46" s="79">
        <f>+C45/C21</f>
        <v>11426.432812499999</v>
      </c>
      <c r="D46" s="48" t="s">
        <v>28</v>
      </c>
      <c r="E46" s="49" t="s">
        <v>29</v>
      </c>
      <c r="F46" s="49"/>
      <c r="G46" s="49"/>
      <c r="H46" s="49"/>
      <c r="I46" s="50"/>
    </row>
    <row r="47" spans="1:25" x14ac:dyDescent="0.25">
      <c r="A47" s="45"/>
      <c r="B47" s="46" t="s">
        <v>1</v>
      </c>
      <c r="C47" s="58">
        <f>+C20-C14-C15-P21-0.5*L21</f>
        <v>78.460499999999996</v>
      </c>
      <c r="D47" s="48" t="s">
        <v>0</v>
      </c>
      <c r="E47" s="49"/>
      <c r="F47" s="49"/>
      <c r="G47" s="49"/>
      <c r="H47" s="49"/>
      <c r="I47" s="50"/>
    </row>
    <row r="48" spans="1:25" ht="18" x14ac:dyDescent="0.35">
      <c r="A48" s="45"/>
      <c r="B48" s="46" t="s">
        <v>40</v>
      </c>
      <c r="C48" s="58">
        <f>IF(C9=3,0.51*C47-(0.26*C47^2-0.0189*C46)^0.5,0.68*C47-(0.462*C47^2-0.0252*C46)^0.5)</f>
        <v>2.8044608135801212</v>
      </c>
      <c r="D48" s="48" t="s">
        <v>435</v>
      </c>
      <c r="E48" s="49"/>
      <c r="F48" s="49"/>
      <c r="G48" s="49"/>
      <c r="H48" s="49"/>
      <c r="I48" s="50"/>
    </row>
    <row r="49" spans="1:9" ht="18" x14ac:dyDescent="0.35">
      <c r="A49" s="45"/>
      <c r="B49" s="46" t="s">
        <v>39</v>
      </c>
      <c r="C49" s="58">
        <f>+C48*C21</f>
        <v>44.87137301728194</v>
      </c>
      <c r="D49" s="48" t="s">
        <v>436</v>
      </c>
      <c r="E49" s="49"/>
      <c r="F49" s="49"/>
      <c r="G49" s="49"/>
      <c r="H49" s="49"/>
      <c r="I49" s="50"/>
    </row>
    <row r="50" spans="1:9" ht="18" x14ac:dyDescent="0.35">
      <c r="A50" s="45"/>
      <c r="B50" s="46" t="s">
        <v>43</v>
      </c>
      <c r="C50" s="58">
        <f>+C49*4/3</f>
        <v>59.828497356375919</v>
      </c>
      <c r="D50" s="48" t="s">
        <v>436</v>
      </c>
      <c r="E50" s="49"/>
      <c r="F50" s="49"/>
      <c r="G50" s="49"/>
      <c r="H50" s="49"/>
      <c r="I50" s="50"/>
    </row>
    <row r="51" spans="1:9" ht="18.75" x14ac:dyDescent="0.35">
      <c r="A51" s="45"/>
      <c r="B51" s="46" t="s">
        <v>437</v>
      </c>
      <c r="C51" s="58">
        <f>3*(C9*1000)^0.5*C21*12*C47/C10/1000</f>
        <v>41.255602294208721</v>
      </c>
      <c r="D51" s="48" t="s">
        <v>436</v>
      </c>
      <c r="E51" s="49"/>
      <c r="F51" s="49"/>
      <c r="G51" s="49"/>
      <c r="H51" s="49"/>
      <c r="I51" s="50"/>
    </row>
    <row r="52" spans="1:9" ht="18" x14ac:dyDescent="0.35">
      <c r="A52" s="45"/>
      <c r="B52" s="46" t="s">
        <v>438</v>
      </c>
      <c r="C52" s="58">
        <f>200*C21*12*C47/C10/1000</f>
        <v>50.214719999999993</v>
      </c>
      <c r="D52" s="48" t="s">
        <v>436</v>
      </c>
      <c r="E52" s="49"/>
      <c r="F52" s="49"/>
      <c r="G52" s="49"/>
      <c r="H52" s="49"/>
      <c r="I52" s="50"/>
    </row>
    <row r="53" spans="1:9" ht="18" x14ac:dyDescent="0.35">
      <c r="A53" s="45"/>
      <c r="B53" s="46" t="s">
        <v>44</v>
      </c>
      <c r="C53" s="58">
        <f>+MAX(C51:C52)</f>
        <v>50.214719999999993</v>
      </c>
      <c r="D53" s="48" t="s">
        <v>436</v>
      </c>
      <c r="E53" s="49"/>
      <c r="F53" s="49"/>
      <c r="G53" s="49"/>
      <c r="H53" s="49"/>
      <c r="I53" s="50"/>
    </row>
    <row r="54" spans="1:9" ht="18" x14ac:dyDescent="0.35">
      <c r="A54" s="45"/>
      <c r="B54" s="46" t="s">
        <v>439</v>
      </c>
      <c r="C54" s="58">
        <f>+IF(C10=60,0.0018*C21*12*C20,0.002*C21*12*C20)</f>
        <v>31.104000000000003</v>
      </c>
      <c r="D54" s="48" t="s">
        <v>436</v>
      </c>
      <c r="E54" s="49"/>
      <c r="F54" s="49"/>
      <c r="G54" s="49"/>
      <c r="H54" s="49"/>
      <c r="I54" s="50"/>
    </row>
    <row r="55" spans="1:9" ht="18" x14ac:dyDescent="0.35">
      <c r="A55" s="45"/>
      <c r="B55" s="46" t="s">
        <v>41</v>
      </c>
      <c r="C55" s="74">
        <f>+IF(C49&gt;C53,C49,IF(C50&gt;C53,C53,IF(C50&gt;C54,C50,C54)))</f>
        <v>50.214719999999993</v>
      </c>
      <c r="D55" s="48" t="s">
        <v>436</v>
      </c>
      <c r="E55" s="49"/>
      <c r="F55" s="49"/>
      <c r="G55" s="49"/>
      <c r="H55" s="49"/>
      <c r="I55" s="50"/>
    </row>
    <row r="56" spans="1:9" x14ac:dyDescent="0.25">
      <c r="A56" s="75" t="s">
        <v>42</v>
      </c>
      <c r="B56" s="49"/>
      <c r="C56" s="49"/>
      <c r="D56" s="49"/>
      <c r="E56" s="49"/>
      <c r="F56" s="49"/>
      <c r="G56" s="49"/>
      <c r="H56" s="49"/>
      <c r="I56" s="50"/>
    </row>
    <row r="57" spans="1:9" x14ac:dyDescent="0.25">
      <c r="A57" s="109"/>
      <c r="B57" s="76" t="s">
        <v>45</v>
      </c>
      <c r="C57" s="57">
        <f>+C21/C22</f>
        <v>1</v>
      </c>
      <c r="D57" s="48"/>
      <c r="E57" s="49"/>
      <c r="F57" s="49"/>
      <c r="G57" s="49"/>
      <c r="H57" s="49"/>
      <c r="I57" s="50"/>
    </row>
    <row r="58" spans="1:9" ht="18" x14ac:dyDescent="0.35">
      <c r="A58" s="109"/>
      <c r="B58" s="76" t="s">
        <v>47</v>
      </c>
      <c r="C58" s="55">
        <f>2/(C57+1)</f>
        <v>1</v>
      </c>
      <c r="D58" s="48"/>
      <c r="E58" s="49" t="s">
        <v>119</v>
      </c>
      <c r="F58" s="49"/>
      <c r="G58" s="49"/>
      <c r="H58" s="49"/>
      <c r="I58" s="50"/>
    </row>
    <row r="59" spans="1:9" ht="18" x14ac:dyDescent="0.35">
      <c r="A59" s="45"/>
      <c r="B59" s="46" t="s">
        <v>46</v>
      </c>
      <c r="C59" s="58">
        <f>+C49*C57*C58</f>
        <v>44.87137301728194</v>
      </c>
      <c r="D59" s="48" t="s">
        <v>436</v>
      </c>
      <c r="E59" s="49"/>
      <c r="F59" s="49"/>
      <c r="G59" s="49"/>
      <c r="H59" s="49"/>
      <c r="I59" s="50"/>
    </row>
    <row r="60" spans="1:9" ht="18" x14ac:dyDescent="0.35">
      <c r="A60" s="45"/>
      <c r="B60" s="46" t="s">
        <v>41</v>
      </c>
      <c r="C60" s="58">
        <f>+MAX(C59,C55)</f>
        <v>50.214719999999993</v>
      </c>
      <c r="D60" s="48" t="s">
        <v>436</v>
      </c>
      <c r="E60" s="49"/>
      <c r="F60" s="49"/>
      <c r="G60" s="49"/>
      <c r="H60" s="49"/>
      <c r="I60" s="50"/>
    </row>
    <row r="61" spans="1:9" x14ac:dyDescent="0.25">
      <c r="A61" s="45"/>
      <c r="B61" s="46" t="s">
        <v>440</v>
      </c>
      <c r="C61" s="77">
        <f>+C18-C11</f>
        <v>33</v>
      </c>
      <c r="D61" s="48" t="s">
        <v>0</v>
      </c>
      <c r="E61" s="49" t="s">
        <v>52</v>
      </c>
      <c r="F61" s="49"/>
      <c r="G61" s="49"/>
      <c r="H61" s="49"/>
      <c r="I61" s="50"/>
    </row>
    <row r="62" spans="1:9" ht="18" x14ac:dyDescent="0.35">
      <c r="A62" s="45"/>
      <c r="B62" s="46" t="s">
        <v>51</v>
      </c>
      <c r="C62" s="55">
        <v>1</v>
      </c>
      <c r="D62" s="48"/>
      <c r="E62" s="49" t="s">
        <v>50</v>
      </c>
      <c r="F62" s="49"/>
      <c r="G62" s="49"/>
      <c r="H62" s="49"/>
      <c r="I62" s="50"/>
    </row>
    <row r="63" spans="1:9" ht="18" x14ac:dyDescent="0.35">
      <c r="A63" s="45"/>
      <c r="B63" s="46" t="s">
        <v>48</v>
      </c>
      <c r="C63" s="58">
        <f>0.02*C62*C10*1000/(C9*1000)^0.5*L21*0.7</f>
        <v>25.964240115974892</v>
      </c>
      <c r="D63" s="48" t="s">
        <v>0</v>
      </c>
      <c r="E63" s="49" t="str">
        <f>+IF(C63&gt;C61,"NG; insufficient length available to develop hook","OK; sufficient length available to develop hook")</f>
        <v>OK; sufficient length available to develop hook</v>
      </c>
      <c r="F63" s="49"/>
      <c r="G63" s="49"/>
      <c r="H63" s="49"/>
      <c r="I63" s="50"/>
    </row>
    <row r="64" spans="1:9" x14ac:dyDescent="0.25">
      <c r="A64" s="45"/>
      <c r="B64" s="46" t="s">
        <v>441</v>
      </c>
      <c r="C64" s="78">
        <f>+C60/L22</f>
        <v>22.306942943430023</v>
      </c>
      <c r="D64" s="48"/>
      <c r="E64" s="49"/>
      <c r="F64" s="49"/>
      <c r="G64" s="49"/>
      <c r="H64" s="49"/>
      <c r="I64" s="50"/>
    </row>
    <row r="65" spans="1:9" x14ac:dyDescent="0.25">
      <c r="A65" s="45"/>
      <c r="B65" s="46" t="s">
        <v>442</v>
      </c>
      <c r="C65" s="56">
        <v>18</v>
      </c>
      <c r="D65" s="48"/>
      <c r="E65" s="49"/>
      <c r="F65" s="49"/>
      <c r="G65" s="49"/>
      <c r="H65" s="49"/>
      <c r="I65" s="50"/>
    </row>
    <row r="66" spans="1:9" x14ac:dyDescent="0.25">
      <c r="A66" s="45"/>
      <c r="B66" s="49"/>
      <c r="C66" s="49"/>
      <c r="D66" s="49"/>
      <c r="E66" s="49"/>
      <c r="F66" s="49"/>
      <c r="G66" s="49"/>
      <c r="H66" s="49"/>
      <c r="I66" s="50"/>
    </row>
    <row r="67" spans="1:9" ht="18.75" x14ac:dyDescent="0.3">
      <c r="A67" s="67" t="s">
        <v>49</v>
      </c>
      <c r="B67" s="49"/>
      <c r="C67" s="49"/>
      <c r="D67" s="49"/>
      <c r="E67" s="49"/>
      <c r="F67" s="49"/>
      <c r="G67" s="49"/>
      <c r="H67" s="49"/>
      <c r="I67" s="50"/>
    </row>
    <row r="68" spans="1:9" ht="18" x14ac:dyDescent="0.35">
      <c r="A68" s="45"/>
      <c r="B68" s="46" t="s">
        <v>26</v>
      </c>
      <c r="C68" s="69">
        <f>1.6*C13*(3*(C17*12+C11-C42/4))-1.6*(C21/2-C42/12/4)*C22*C20/12*0.15*(C21/2-C42/12/4)*12/2</f>
        <v>182822.92499999999</v>
      </c>
      <c r="D68" s="48" t="s">
        <v>27</v>
      </c>
      <c r="E68" s="49" t="s">
        <v>118</v>
      </c>
      <c r="F68" s="49"/>
      <c r="G68" s="49"/>
      <c r="H68" s="49"/>
      <c r="I68" s="50"/>
    </row>
    <row r="69" spans="1:9" ht="18" x14ac:dyDescent="0.35">
      <c r="A69" s="45"/>
      <c r="B69" s="46" t="s">
        <v>26</v>
      </c>
      <c r="C69" s="79">
        <f>+C68/C22</f>
        <v>11426.432812499999</v>
      </c>
      <c r="D69" s="48" t="s">
        <v>28</v>
      </c>
      <c r="E69" s="49" t="s">
        <v>29</v>
      </c>
      <c r="F69" s="49"/>
      <c r="G69" s="49"/>
      <c r="H69" s="49"/>
      <c r="I69" s="50"/>
    </row>
    <row r="70" spans="1:9" x14ac:dyDescent="0.25">
      <c r="A70" s="45"/>
      <c r="B70" s="46" t="s">
        <v>1</v>
      </c>
      <c r="C70" s="55">
        <f>+C20-C14-C15-P21/2</f>
        <v>80.153499999999994</v>
      </c>
      <c r="D70" s="48" t="s">
        <v>0</v>
      </c>
      <c r="E70" s="49"/>
      <c r="F70" s="49"/>
      <c r="G70" s="49"/>
      <c r="H70" s="49"/>
      <c r="I70" s="50"/>
    </row>
    <row r="71" spans="1:9" ht="18" x14ac:dyDescent="0.35">
      <c r="A71" s="45"/>
      <c r="B71" s="46" t="s">
        <v>40</v>
      </c>
      <c r="C71" s="58">
        <f>IF(C9=3,0.51*C70-(0.26*C70^2-0.0189*C69)^0.5,0.68*C70-(0.462*C70^2-0.0252*C69)^0.5)</f>
        <v>2.7412669462933152</v>
      </c>
      <c r="D71" s="48" t="s">
        <v>435</v>
      </c>
      <c r="E71" s="49"/>
      <c r="F71" s="49"/>
      <c r="G71" s="49"/>
      <c r="H71" s="49"/>
      <c r="I71" s="50"/>
    </row>
    <row r="72" spans="1:9" ht="18" x14ac:dyDescent="0.35">
      <c r="A72" s="45"/>
      <c r="B72" s="46" t="s">
        <v>39</v>
      </c>
      <c r="C72" s="58">
        <f>+C71*C22</f>
        <v>43.860271140693044</v>
      </c>
      <c r="D72" s="48" t="s">
        <v>436</v>
      </c>
      <c r="E72" s="49"/>
      <c r="F72" s="49"/>
      <c r="G72" s="49"/>
      <c r="H72" s="49"/>
      <c r="I72" s="50"/>
    </row>
    <row r="73" spans="1:9" ht="18" x14ac:dyDescent="0.35">
      <c r="A73" s="45"/>
      <c r="B73" s="46" t="s">
        <v>43</v>
      </c>
      <c r="C73" s="58">
        <f>+C72*4/3</f>
        <v>58.480361520924056</v>
      </c>
      <c r="D73" s="48" t="s">
        <v>436</v>
      </c>
      <c r="E73" s="49"/>
      <c r="F73" s="49"/>
      <c r="G73" s="49"/>
      <c r="H73" s="49"/>
      <c r="I73" s="50"/>
    </row>
    <row r="74" spans="1:9" ht="18.75" x14ac:dyDescent="0.35">
      <c r="A74" s="45"/>
      <c r="B74" s="46" t="s">
        <v>437</v>
      </c>
      <c r="C74" s="58">
        <f>3*(C9*1000)^0.5*C22*12*C70/C10/1000</f>
        <v>42.145804812470715</v>
      </c>
      <c r="D74" s="48" t="s">
        <v>436</v>
      </c>
      <c r="E74" s="49"/>
      <c r="F74" s="49"/>
      <c r="G74" s="49"/>
      <c r="H74" s="49"/>
      <c r="I74" s="50"/>
    </row>
    <row r="75" spans="1:9" ht="18" x14ac:dyDescent="0.35">
      <c r="A75" s="45"/>
      <c r="B75" s="46" t="s">
        <v>438</v>
      </c>
      <c r="C75" s="58">
        <f>200*C22*12*C70/C10/1000</f>
        <v>51.29824</v>
      </c>
      <c r="D75" s="48" t="s">
        <v>436</v>
      </c>
      <c r="E75" s="49"/>
      <c r="F75" s="49"/>
      <c r="G75" s="49"/>
      <c r="H75" s="49"/>
      <c r="I75" s="50"/>
    </row>
    <row r="76" spans="1:9" ht="18" x14ac:dyDescent="0.35">
      <c r="A76" s="45"/>
      <c r="B76" s="46" t="s">
        <v>44</v>
      </c>
      <c r="C76" s="58">
        <f>+MAX(C74:C75)</f>
        <v>51.29824</v>
      </c>
      <c r="D76" s="48" t="s">
        <v>436</v>
      </c>
      <c r="E76" s="49"/>
      <c r="F76" s="49"/>
      <c r="G76" s="49"/>
      <c r="H76" s="49"/>
      <c r="I76" s="50"/>
    </row>
    <row r="77" spans="1:9" ht="18" x14ac:dyDescent="0.35">
      <c r="A77" s="45"/>
      <c r="B77" s="46" t="s">
        <v>439</v>
      </c>
      <c r="C77" s="58">
        <f>+IF(C10=60,0.0018*C22*12*C20,0.002*C22*12*C20)</f>
        <v>31.104000000000003</v>
      </c>
      <c r="D77" s="48" t="s">
        <v>436</v>
      </c>
      <c r="E77" s="49"/>
      <c r="F77" s="49"/>
      <c r="G77" s="49"/>
      <c r="H77" s="49"/>
      <c r="I77" s="50"/>
    </row>
    <row r="78" spans="1:9" ht="18" x14ac:dyDescent="0.35">
      <c r="A78" s="45"/>
      <c r="B78" s="46" t="s">
        <v>41</v>
      </c>
      <c r="C78" s="58">
        <f>+IF(C72&gt;C76,C72,IF(C73&gt;C76,C76,IF(C73&gt;C77,C73,C77)))</f>
        <v>51.29824</v>
      </c>
      <c r="D78" s="48" t="s">
        <v>436</v>
      </c>
      <c r="E78" s="49"/>
      <c r="F78" s="49"/>
      <c r="G78" s="49"/>
      <c r="H78" s="49"/>
      <c r="I78" s="50"/>
    </row>
    <row r="79" spans="1:9" x14ac:dyDescent="0.25">
      <c r="A79" s="45"/>
      <c r="B79" s="46" t="s">
        <v>440</v>
      </c>
      <c r="C79" s="55">
        <f>+C18-C11</f>
        <v>33</v>
      </c>
      <c r="D79" s="48" t="s">
        <v>0</v>
      </c>
      <c r="E79" s="49" t="s">
        <v>52</v>
      </c>
      <c r="F79" s="49"/>
      <c r="G79" s="49"/>
      <c r="H79" s="49"/>
      <c r="I79" s="50"/>
    </row>
    <row r="80" spans="1:9" ht="18" x14ac:dyDescent="0.35">
      <c r="A80" s="45"/>
      <c r="B80" s="46" t="s">
        <v>51</v>
      </c>
      <c r="C80" s="55">
        <v>1</v>
      </c>
      <c r="D80" s="48"/>
      <c r="E80" s="49" t="s">
        <v>50</v>
      </c>
      <c r="F80" s="49"/>
      <c r="G80" s="49"/>
      <c r="H80" s="49"/>
      <c r="I80" s="50"/>
    </row>
    <row r="81" spans="1:17" ht="18" x14ac:dyDescent="0.35">
      <c r="A81" s="45"/>
      <c r="B81" s="46" t="s">
        <v>48</v>
      </c>
      <c r="C81" s="58">
        <f>0.02*C62*C10*1000/(C9*1000)^0.5*P21*0.7</f>
        <v>25.964240115974892</v>
      </c>
      <c r="D81" s="48" t="s">
        <v>0</v>
      </c>
      <c r="E81" s="49" t="str">
        <f>+IF(C81&gt;C79,"NG; insufficient length available to develop hook","OK; sufficient length available to develop hook")</f>
        <v>OK; sufficient length available to develop hook</v>
      </c>
      <c r="F81" s="49"/>
      <c r="G81" s="49"/>
      <c r="H81" s="49"/>
      <c r="I81" s="50"/>
    </row>
    <row r="82" spans="1:17" x14ac:dyDescent="0.25">
      <c r="A82" s="45"/>
      <c r="B82" s="46" t="s">
        <v>443</v>
      </c>
      <c r="C82" s="78">
        <f>+C78/P22</f>
        <v>22.788276281902597</v>
      </c>
      <c r="D82" s="48"/>
      <c r="E82" s="49"/>
      <c r="F82" s="49"/>
      <c r="G82" s="49"/>
      <c r="H82" s="49"/>
      <c r="I82" s="50"/>
    </row>
    <row r="83" spans="1:17" x14ac:dyDescent="0.25">
      <c r="A83" s="45"/>
      <c r="B83" s="46" t="s">
        <v>444</v>
      </c>
      <c r="C83" s="56">
        <v>18</v>
      </c>
      <c r="D83" s="48"/>
      <c r="E83" s="49"/>
      <c r="F83" s="49"/>
      <c r="G83" s="49"/>
      <c r="H83" s="49"/>
      <c r="I83" s="50"/>
    </row>
    <row r="84" spans="1:17" x14ac:dyDescent="0.25">
      <c r="A84" s="65"/>
      <c r="B84" s="60"/>
      <c r="C84" s="60"/>
      <c r="D84" s="60"/>
      <c r="E84" s="60"/>
      <c r="F84" s="60"/>
      <c r="G84" s="60"/>
      <c r="H84" s="60"/>
      <c r="I84" s="70" t="s">
        <v>434</v>
      </c>
    </row>
    <row r="85" spans="1:17" ht="18.75" x14ac:dyDescent="0.3">
      <c r="A85" s="71" t="s">
        <v>80</v>
      </c>
      <c r="B85" s="72"/>
      <c r="C85" s="72"/>
      <c r="D85" s="72"/>
      <c r="E85" s="72"/>
      <c r="F85" s="72"/>
      <c r="G85" s="72"/>
      <c r="H85" s="72"/>
      <c r="I85" s="73"/>
    </row>
    <row r="86" spans="1:17" x14ac:dyDescent="0.25">
      <c r="A86" s="68" t="s">
        <v>1</v>
      </c>
      <c r="B86" s="53">
        <f>+C20-C14-C15-1</f>
        <v>80</v>
      </c>
      <c r="C86" s="48" t="s">
        <v>0</v>
      </c>
      <c r="D86" s="49"/>
      <c r="E86" s="49"/>
      <c r="F86" s="49"/>
      <c r="G86" s="80"/>
      <c r="H86" s="49"/>
      <c r="I86" s="50"/>
      <c r="J86" s="4" t="s">
        <v>55</v>
      </c>
      <c r="K86" s="64"/>
      <c r="M86" s="64">
        <f>+B86/2+C42/2</f>
        <v>66.5</v>
      </c>
      <c r="N86" s="4" t="s">
        <v>0</v>
      </c>
      <c r="O86" s="64"/>
      <c r="P86" s="64"/>
    </row>
    <row r="87" spans="1:17" x14ac:dyDescent="0.25">
      <c r="A87" s="68" t="s">
        <v>54</v>
      </c>
      <c r="B87" s="54">
        <f>+B86/2</f>
        <v>40</v>
      </c>
      <c r="C87" s="48" t="s">
        <v>0</v>
      </c>
      <c r="D87" s="49"/>
      <c r="E87" s="49"/>
      <c r="F87" s="49"/>
      <c r="G87" s="80"/>
      <c r="H87" s="49"/>
      <c r="I87" s="50"/>
      <c r="J87" s="4" t="s">
        <v>56</v>
      </c>
      <c r="K87" s="64"/>
      <c r="L87" s="64"/>
      <c r="M87" s="64"/>
      <c r="N87" s="64"/>
      <c r="O87" s="64">
        <f>+C17*12+C11</f>
        <v>63</v>
      </c>
      <c r="P87" s="4" t="s">
        <v>0</v>
      </c>
      <c r="Q87" s="4" t="s">
        <v>120</v>
      </c>
    </row>
    <row r="88" spans="1:17" x14ac:dyDescent="0.25">
      <c r="A88" s="99"/>
      <c r="B88" s="81"/>
      <c r="C88" s="48"/>
      <c r="D88" s="82" t="s">
        <v>445</v>
      </c>
      <c r="E88" s="83">
        <f>+IF(M86&gt;O88,0,8)</f>
        <v>0</v>
      </c>
      <c r="F88" s="49"/>
      <c r="G88" s="49"/>
      <c r="H88" s="49"/>
      <c r="I88" s="50"/>
      <c r="J88" s="4" t="s">
        <v>57</v>
      </c>
      <c r="K88" s="64"/>
      <c r="L88" s="64"/>
      <c r="M88" s="64"/>
      <c r="N88" s="64"/>
      <c r="O88" s="64">
        <f>+C17*12+C11</f>
        <v>63</v>
      </c>
      <c r="P88" s="4" t="s">
        <v>0</v>
      </c>
      <c r="Q88" s="4" t="s">
        <v>120</v>
      </c>
    </row>
    <row r="89" spans="1:17" ht="18.75" x14ac:dyDescent="0.35">
      <c r="A89" s="68" t="s">
        <v>3</v>
      </c>
      <c r="B89" s="69">
        <f>4*(C9*1000)^0.5</f>
        <v>219.08902300206645</v>
      </c>
      <c r="C89" s="48" t="s">
        <v>5</v>
      </c>
      <c r="D89" s="49"/>
      <c r="E89" s="49"/>
      <c r="F89" s="49"/>
      <c r="G89" s="49"/>
      <c r="H89" s="49"/>
      <c r="I89" s="50"/>
    </row>
    <row r="90" spans="1:17" ht="18" x14ac:dyDescent="0.35">
      <c r="A90" s="68" t="s">
        <v>11</v>
      </c>
      <c r="B90" s="55">
        <f>4*(B86+C42)</f>
        <v>532</v>
      </c>
      <c r="C90" s="48" t="s">
        <v>0</v>
      </c>
      <c r="D90" s="49"/>
      <c r="E90" s="49"/>
      <c r="F90" s="49"/>
      <c r="G90" s="49"/>
      <c r="H90" s="49"/>
      <c r="I90" s="50"/>
    </row>
    <row r="91" spans="1:17" ht="18.75" x14ac:dyDescent="0.35">
      <c r="A91" s="68" t="s">
        <v>7</v>
      </c>
      <c r="B91" s="79">
        <f>+B89*B90*B86/1000</f>
        <v>9324.4288189679482</v>
      </c>
      <c r="C91" s="48" t="s">
        <v>18</v>
      </c>
      <c r="D91" s="49" t="s">
        <v>15</v>
      </c>
      <c r="E91" s="49"/>
      <c r="F91" s="49"/>
      <c r="G91" s="49"/>
      <c r="H91" s="49"/>
      <c r="I91" s="50"/>
      <c r="L91" s="4" t="s">
        <v>83</v>
      </c>
      <c r="O91" s="4">
        <f>+B89</f>
        <v>219.08902300206645</v>
      </c>
      <c r="P91" s="4" t="s">
        <v>5</v>
      </c>
    </row>
    <row r="92" spans="1:17" ht="18" x14ac:dyDescent="0.35">
      <c r="A92" s="68" t="s">
        <v>12</v>
      </c>
      <c r="B92" s="79">
        <f>+B91*0.85</f>
        <v>7925.7644961227561</v>
      </c>
      <c r="C92" s="48" t="s">
        <v>18</v>
      </c>
      <c r="D92" s="49"/>
      <c r="E92" s="49"/>
      <c r="F92" s="49"/>
      <c r="G92" s="49"/>
      <c r="H92" s="49"/>
      <c r="I92" s="50"/>
    </row>
    <row r="93" spans="1:17" ht="18" x14ac:dyDescent="0.35">
      <c r="A93" s="68" t="s">
        <v>58</v>
      </c>
      <c r="B93" s="79">
        <f>+E88*1.6*C13-1.6*0.15*C21*C22*C20/12+1.6*0.15*(2*M86)/12*(2*M86)/12*C20/12</f>
        <v>-239.68749999999997</v>
      </c>
      <c r="C93" s="48" t="s">
        <v>18</v>
      </c>
      <c r="D93" s="49" t="s">
        <v>132</v>
      </c>
      <c r="E93" s="49"/>
      <c r="F93" s="49"/>
      <c r="G93" s="49"/>
      <c r="H93" s="49"/>
      <c r="I93" s="50"/>
    </row>
    <row r="94" spans="1:17" ht="18" x14ac:dyDescent="0.35">
      <c r="A94" s="68" t="s">
        <v>14</v>
      </c>
      <c r="B94" s="74">
        <f>+B93/B92</f>
        <v>-3.0241562201003307E-2</v>
      </c>
      <c r="C94" s="48"/>
      <c r="D94" s="49"/>
      <c r="E94" s="49"/>
      <c r="F94" s="49"/>
      <c r="G94" s="49"/>
      <c r="H94" s="49"/>
      <c r="I94" s="50"/>
    </row>
    <row r="95" spans="1:17" x14ac:dyDescent="0.25">
      <c r="A95" s="45"/>
      <c r="B95" s="49"/>
      <c r="C95" s="49"/>
      <c r="D95" s="49"/>
      <c r="E95" s="49"/>
      <c r="F95" s="49"/>
      <c r="G95" s="49"/>
      <c r="H95" s="49"/>
      <c r="I95" s="50"/>
    </row>
    <row r="96" spans="1:17" ht="18.75" x14ac:dyDescent="0.3">
      <c r="A96" s="67" t="s">
        <v>121</v>
      </c>
      <c r="B96" s="49"/>
      <c r="C96" s="49"/>
      <c r="D96" s="49"/>
      <c r="E96" s="49"/>
      <c r="F96" s="49"/>
      <c r="G96" s="49"/>
      <c r="H96" s="49"/>
      <c r="I96" s="50"/>
    </row>
    <row r="97" spans="1:17" ht="18.75" x14ac:dyDescent="0.3">
      <c r="A97" s="67" t="s">
        <v>122</v>
      </c>
      <c r="B97" s="49"/>
      <c r="C97" s="49"/>
      <c r="D97" s="49"/>
      <c r="E97" s="49"/>
      <c r="F97" s="49"/>
      <c r="G97" s="49"/>
      <c r="H97" s="49"/>
      <c r="I97" s="50"/>
    </row>
    <row r="98" spans="1:17" x14ac:dyDescent="0.25">
      <c r="A98" s="68" t="s">
        <v>1</v>
      </c>
      <c r="B98" s="83">
        <f>+B86</f>
        <v>80</v>
      </c>
      <c r="C98" s="48" t="s">
        <v>0</v>
      </c>
      <c r="D98" s="49"/>
      <c r="E98" s="49"/>
      <c r="F98" s="49"/>
      <c r="G98" s="49"/>
      <c r="H98" s="49"/>
      <c r="I98" s="50"/>
      <c r="J98" s="4" t="s">
        <v>59</v>
      </c>
      <c r="K98" s="64"/>
      <c r="M98" s="64">
        <f>+C42/2+B98</f>
        <v>106.5</v>
      </c>
      <c r="N98" s="4" t="s">
        <v>0</v>
      </c>
      <c r="O98" s="64"/>
    </row>
    <row r="99" spans="1:17" x14ac:dyDescent="0.25">
      <c r="A99" s="68"/>
      <c r="B99" s="80"/>
      <c r="C99" s="48"/>
      <c r="D99" s="82" t="s">
        <v>446</v>
      </c>
      <c r="E99" s="83">
        <f>+IF(M98&gt;O99,0,3)</f>
        <v>0</v>
      </c>
      <c r="F99" s="49"/>
      <c r="G99" s="49"/>
      <c r="H99" s="49"/>
      <c r="I99" s="50"/>
      <c r="J99" s="4" t="s">
        <v>60</v>
      </c>
      <c r="K99" s="64"/>
      <c r="L99" s="64"/>
      <c r="M99" s="64"/>
      <c r="N99" s="64"/>
      <c r="O99" s="64">
        <f>C17*12+C11</f>
        <v>63</v>
      </c>
      <c r="P99" s="4" t="s">
        <v>0</v>
      </c>
      <c r="Q99" s="4" t="s">
        <v>120</v>
      </c>
    </row>
    <row r="100" spans="1:17" ht="18.75" x14ac:dyDescent="0.35">
      <c r="A100" s="68" t="s">
        <v>61</v>
      </c>
      <c r="B100" s="69">
        <f>2*(C9*1000)^0.5</f>
        <v>109.54451150103323</v>
      </c>
      <c r="C100" s="48" t="s">
        <v>5</v>
      </c>
      <c r="D100" s="49"/>
      <c r="E100" s="49"/>
      <c r="F100" s="49"/>
      <c r="G100" s="49"/>
      <c r="H100" s="49"/>
      <c r="I100" s="50"/>
    </row>
    <row r="101" spans="1:17" x14ac:dyDescent="0.25">
      <c r="A101" s="68" t="s">
        <v>62</v>
      </c>
      <c r="B101" s="79">
        <f>+C22*12*B98</f>
        <v>15360</v>
      </c>
      <c r="C101" s="48" t="s">
        <v>436</v>
      </c>
      <c r="D101" s="49"/>
      <c r="E101" s="49"/>
      <c r="F101" s="49"/>
      <c r="G101" s="49"/>
      <c r="H101" s="49"/>
      <c r="I101" s="50"/>
      <c r="L101" s="4" t="s">
        <v>83</v>
      </c>
      <c r="O101" s="4">
        <f>+B100</f>
        <v>109.54451150103323</v>
      </c>
      <c r="P101" s="4" t="s">
        <v>5</v>
      </c>
    </row>
    <row r="102" spans="1:17" ht="18.75" x14ac:dyDescent="0.35">
      <c r="A102" s="68" t="s">
        <v>7</v>
      </c>
      <c r="B102" s="79">
        <f>+B100*B101/1000</f>
        <v>1682.6036966558704</v>
      </c>
      <c r="C102" s="48" t="s">
        <v>18</v>
      </c>
      <c r="D102" s="49" t="s">
        <v>63</v>
      </c>
      <c r="E102" s="49"/>
      <c r="F102" s="49"/>
      <c r="G102" s="49"/>
      <c r="H102" s="49"/>
      <c r="I102" s="50"/>
    </row>
    <row r="103" spans="1:17" ht="18" x14ac:dyDescent="0.35">
      <c r="A103" s="68" t="s">
        <v>12</v>
      </c>
      <c r="B103" s="79">
        <f>+B102*0.85</f>
        <v>1430.2131421574898</v>
      </c>
      <c r="C103" s="48" t="s">
        <v>18</v>
      </c>
      <c r="D103" s="49"/>
      <c r="E103" s="49"/>
      <c r="F103" s="49"/>
      <c r="G103" s="49"/>
      <c r="H103" s="49"/>
      <c r="I103" s="50"/>
    </row>
    <row r="104" spans="1:17" ht="18" x14ac:dyDescent="0.35">
      <c r="A104" s="68" t="s">
        <v>58</v>
      </c>
      <c r="B104" s="79">
        <f>+E99*C13*1.6-1.6*0.15*C21*C22*C20/12*((C21/2-M98/12)/C21)</f>
        <v>25.199999999999996</v>
      </c>
      <c r="C104" s="48" t="s">
        <v>18</v>
      </c>
      <c r="D104" s="49" t="s">
        <v>132</v>
      </c>
      <c r="E104" s="49"/>
      <c r="F104" s="49"/>
      <c r="G104" s="49"/>
      <c r="H104" s="49"/>
      <c r="I104" s="50"/>
    </row>
    <row r="105" spans="1:17" ht="18" x14ac:dyDescent="0.35">
      <c r="A105" s="68" t="s">
        <v>14</v>
      </c>
      <c r="B105" s="74">
        <f>+B104/B103</f>
        <v>1.7619751390331628E-2</v>
      </c>
      <c r="C105" s="48"/>
      <c r="D105" s="49"/>
      <c r="E105" s="49"/>
      <c r="F105" s="49"/>
      <c r="G105" s="49"/>
      <c r="H105" s="49"/>
      <c r="I105" s="50"/>
    </row>
    <row r="106" spans="1:17" x14ac:dyDescent="0.25">
      <c r="A106" s="45"/>
      <c r="B106" s="49"/>
      <c r="C106" s="49"/>
      <c r="D106" s="49"/>
      <c r="E106" s="49"/>
      <c r="F106" s="49"/>
      <c r="G106" s="49"/>
      <c r="H106" s="49"/>
      <c r="I106" s="50"/>
    </row>
    <row r="107" spans="1:17" ht="18.75" x14ac:dyDescent="0.3">
      <c r="A107" s="67" t="s">
        <v>139</v>
      </c>
      <c r="B107" s="49"/>
      <c r="C107" s="49"/>
      <c r="D107" s="49"/>
      <c r="E107" s="49"/>
      <c r="F107" s="49"/>
      <c r="G107" s="49"/>
      <c r="H107" s="49"/>
      <c r="I107" s="50"/>
    </row>
    <row r="108" spans="1:17" ht="18.75" x14ac:dyDescent="0.3">
      <c r="A108" s="67" t="s">
        <v>140</v>
      </c>
      <c r="B108" s="49"/>
      <c r="C108" s="49"/>
      <c r="D108" s="49"/>
      <c r="E108" s="49"/>
      <c r="F108" s="49"/>
      <c r="G108" s="49"/>
      <c r="H108" s="49"/>
      <c r="I108" s="50"/>
    </row>
    <row r="109" spans="1:17" x14ac:dyDescent="0.25">
      <c r="A109" s="68" t="s">
        <v>1</v>
      </c>
      <c r="B109" s="83">
        <f>+B98</f>
        <v>80</v>
      </c>
      <c r="C109" s="48" t="s">
        <v>0</v>
      </c>
      <c r="D109" s="49"/>
      <c r="E109" s="49"/>
      <c r="F109" s="49"/>
      <c r="G109" s="49"/>
      <c r="H109" s="49"/>
      <c r="I109" s="50"/>
      <c r="J109" s="4" t="s">
        <v>59</v>
      </c>
      <c r="K109" s="64"/>
      <c r="M109" s="64">
        <f>+C42/2+B109</f>
        <v>106.5</v>
      </c>
      <c r="N109" s="4" t="s">
        <v>0</v>
      </c>
      <c r="O109" s="64"/>
    </row>
    <row r="110" spans="1:17" x14ac:dyDescent="0.25">
      <c r="A110" s="68"/>
      <c r="B110" s="80"/>
      <c r="C110" s="48"/>
      <c r="D110" s="82" t="s">
        <v>446</v>
      </c>
      <c r="E110" s="83">
        <f>+IF(M109&gt;O110,0,3)</f>
        <v>0</v>
      </c>
      <c r="F110" s="49"/>
      <c r="G110" s="49"/>
      <c r="H110" s="49"/>
      <c r="I110" s="50"/>
      <c r="J110" s="4" t="s">
        <v>81</v>
      </c>
      <c r="K110" s="64"/>
      <c r="L110" s="64"/>
      <c r="M110" s="64"/>
      <c r="N110" s="64"/>
      <c r="O110" s="64">
        <f>C17*12+C11</f>
        <v>63</v>
      </c>
      <c r="P110" s="4" t="s">
        <v>0</v>
      </c>
      <c r="Q110" s="4" t="s">
        <v>120</v>
      </c>
    </row>
    <row r="111" spans="1:17" ht="18.75" x14ac:dyDescent="0.35">
      <c r="A111" s="68" t="s">
        <v>61</v>
      </c>
      <c r="B111" s="69">
        <f>2*(C9*1000)^0.5</f>
        <v>109.54451150103323</v>
      </c>
      <c r="C111" s="48" t="s">
        <v>5</v>
      </c>
      <c r="D111" s="49"/>
      <c r="E111" s="49"/>
      <c r="F111" s="49"/>
      <c r="G111" s="49"/>
      <c r="H111" s="49"/>
      <c r="I111" s="50"/>
    </row>
    <row r="112" spans="1:17" x14ac:dyDescent="0.25">
      <c r="A112" s="68" t="s">
        <v>62</v>
      </c>
      <c r="B112" s="79">
        <f>+C21*12*B109</f>
        <v>15360</v>
      </c>
      <c r="C112" s="48" t="s">
        <v>436</v>
      </c>
      <c r="D112" s="49"/>
      <c r="E112" s="49"/>
      <c r="F112" s="49"/>
      <c r="G112" s="49"/>
      <c r="H112" s="49"/>
      <c r="I112" s="50"/>
      <c r="L112" s="4" t="s">
        <v>83</v>
      </c>
      <c r="O112" s="4">
        <f>+B111</f>
        <v>109.54451150103323</v>
      </c>
      <c r="P112" s="4" t="s">
        <v>5</v>
      </c>
    </row>
    <row r="113" spans="1:9" ht="18.75" x14ac:dyDescent="0.35">
      <c r="A113" s="68" t="s">
        <v>7</v>
      </c>
      <c r="B113" s="79">
        <f>+B111*B112/1000</f>
        <v>1682.6036966558704</v>
      </c>
      <c r="C113" s="48" t="s">
        <v>18</v>
      </c>
      <c r="D113" s="49" t="s">
        <v>63</v>
      </c>
      <c r="E113" s="49"/>
      <c r="F113" s="49"/>
      <c r="G113" s="49"/>
      <c r="H113" s="49"/>
      <c r="I113" s="50"/>
    </row>
    <row r="114" spans="1:9" ht="18" x14ac:dyDescent="0.35">
      <c r="A114" s="68" t="s">
        <v>12</v>
      </c>
      <c r="B114" s="79">
        <f>+B113*0.85</f>
        <v>1430.2131421574898</v>
      </c>
      <c r="C114" s="48" t="s">
        <v>18</v>
      </c>
      <c r="D114" s="49"/>
      <c r="E114" s="49"/>
      <c r="F114" s="49"/>
      <c r="G114" s="49"/>
      <c r="H114" s="49"/>
      <c r="I114" s="50"/>
    </row>
    <row r="115" spans="1:9" ht="18" x14ac:dyDescent="0.35">
      <c r="A115" s="68" t="s">
        <v>58</v>
      </c>
      <c r="B115" s="79">
        <f>+E110*C13*1.6-1.6*0.15*C21*C22*C20/12*((C22/2-M109/12)/C22)</f>
        <v>25.199999999999996</v>
      </c>
      <c r="C115" s="48" t="s">
        <v>18</v>
      </c>
      <c r="D115" s="49" t="s">
        <v>132</v>
      </c>
      <c r="E115" s="49"/>
      <c r="F115" s="49"/>
      <c r="G115" s="49"/>
      <c r="H115" s="49"/>
      <c r="I115" s="50"/>
    </row>
    <row r="116" spans="1:9" ht="18" x14ac:dyDescent="0.35">
      <c r="A116" s="68" t="s">
        <v>14</v>
      </c>
      <c r="B116" s="74">
        <f>+B115/B114</f>
        <v>1.7619751390331628E-2</v>
      </c>
      <c r="C116" s="48"/>
      <c r="D116" s="49"/>
      <c r="E116" s="49"/>
      <c r="F116" s="49"/>
      <c r="G116" s="49"/>
      <c r="H116" s="49"/>
      <c r="I116" s="50"/>
    </row>
    <row r="117" spans="1:9" x14ac:dyDescent="0.25">
      <c r="A117" s="45"/>
      <c r="B117" s="49"/>
      <c r="C117" s="49"/>
      <c r="D117" s="49"/>
      <c r="E117" s="49"/>
      <c r="F117" s="49"/>
      <c r="G117" s="49"/>
      <c r="H117" s="49"/>
      <c r="I117" s="50"/>
    </row>
    <row r="118" spans="1:9" x14ac:dyDescent="0.25">
      <c r="A118" s="45"/>
      <c r="B118" s="49"/>
      <c r="C118" s="49"/>
      <c r="D118" s="49"/>
      <c r="E118" s="49"/>
      <c r="F118" s="49"/>
      <c r="G118" s="49"/>
      <c r="H118" s="49"/>
      <c r="I118" s="50"/>
    </row>
    <row r="119" spans="1:9" x14ac:dyDescent="0.25">
      <c r="A119" s="45"/>
      <c r="B119" s="49"/>
      <c r="C119" s="49"/>
      <c r="D119" s="49"/>
      <c r="E119" s="49"/>
      <c r="F119" s="49"/>
      <c r="G119" s="49"/>
      <c r="H119" s="49"/>
      <c r="I119" s="50"/>
    </row>
    <row r="120" spans="1:9" x14ac:dyDescent="0.25">
      <c r="A120" s="45"/>
      <c r="B120" s="49"/>
      <c r="C120" s="49"/>
      <c r="D120" s="49"/>
      <c r="E120" s="49"/>
      <c r="F120" s="49"/>
      <c r="G120" s="49"/>
      <c r="H120" s="49"/>
      <c r="I120" s="50"/>
    </row>
    <row r="121" spans="1:9" x14ac:dyDescent="0.25">
      <c r="A121" s="45"/>
      <c r="B121" s="49"/>
      <c r="C121" s="49"/>
      <c r="D121" s="49"/>
      <c r="E121" s="49"/>
      <c r="F121" s="49"/>
      <c r="G121" s="49"/>
      <c r="H121" s="49"/>
      <c r="I121" s="50"/>
    </row>
    <row r="122" spans="1:9" x14ac:dyDescent="0.25">
      <c r="A122" s="45"/>
      <c r="B122" s="49"/>
      <c r="C122" s="49"/>
      <c r="D122" s="49"/>
      <c r="E122" s="49"/>
      <c r="F122" s="49"/>
      <c r="G122" s="49"/>
      <c r="H122" s="49"/>
      <c r="I122" s="50"/>
    </row>
    <row r="123" spans="1:9" x14ac:dyDescent="0.25">
      <c r="A123" s="45"/>
      <c r="B123" s="49"/>
      <c r="C123" s="49"/>
      <c r="D123" s="49"/>
      <c r="E123" s="49"/>
      <c r="F123" s="49"/>
      <c r="G123" s="49"/>
      <c r="H123" s="49"/>
      <c r="I123" s="50"/>
    </row>
    <row r="124" spans="1:9" x14ac:dyDescent="0.25">
      <c r="A124" s="45"/>
      <c r="B124" s="49"/>
      <c r="C124" s="49"/>
      <c r="D124" s="49"/>
      <c r="E124" s="49"/>
      <c r="F124" s="49"/>
      <c r="G124" s="49"/>
      <c r="H124" s="49"/>
      <c r="I124" s="50"/>
    </row>
    <row r="125" spans="1:9" x14ac:dyDescent="0.25">
      <c r="A125" s="65"/>
      <c r="B125" s="60"/>
      <c r="C125" s="60"/>
      <c r="D125" s="60"/>
      <c r="E125" s="60"/>
      <c r="F125" s="60"/>
      <c r="G125" s="60"/>
      <c r="H125" s="60"/>
      <c r="I125" s="70" t="s">
        <v>434</v>
      </c>
    </row>
    <row r="126" spans="1:9" ht="18.75" x14ac:dyDescent="0.3">
      <c r="A126" s="71" t="s">
        <v>82</v>
      </c>
      <c r="B126" s="72"/>
      <c r="C126" s="72"/>
      <c r="D126" s="72"/>
      <c r="E126" s="72"/>
      <c r="F126" s="72"/>
      <c r="G126" s="72"/>
      <c r="H126" s="72"/>
      <c r="I126" s="73"/>
    </row>
    <row r="127" spans="1:9" x14ac:dyDescent="0.25">
      <c r="A127" s="68" t="s">
        <v>1</v>
      </c>
      <c r="B127" s="53">
        <f>+B86</f>
        <v>80</v>
      </c>
      <c r="C127" s="48" t="s">
        <v>0</v>
      </c>
      <c r="F127" s="49"/>
      <c r="G127" s="49"/>
      <c r="H127" s="49"/>
      <c r="I127" s="50"/>
    </row>
    <row r="128" spans="1:9" x14ac:dyDescent="0.25">
      <c r="A128" s="68" t="s">
        <v>54</v>
      </c>
      <c r="B128" s="54">
        <f>+B127/2</f>
        <v>40</v>
      </c>
      <c r="C128" s="48" t="s">
        <v>0</v>
      </c>
      <c r="F128" s="49"/>
      <c r="G128" s="49"/>
      <c r="H128" s="49"/>
      <c r="I128" s="50"/>
    </row>
    <row r="129" spans="1:16" x14ac:dyDescent="0.25">
      <c r="A129" s="68"/>
      <c r="B129" s="49"/>
      <c r="C129" s="48"/>
      <c r="D129" s="46" t="s">
        <v>453</v>
      </c>
      <c r="E129" s="83">
        <v>8</v>
      </c>
      <c r="G129" s="49"/>
      <c r="H129" s="49"/>
      <c r="I129" s="50"/>
    </row>
    <row r="130" spans="1:16" ht="18" x14ac:dyDescent="0.35">
      <c r="A130" s="68" t="s">
        <v>454</v>
      </c>
      <c r="B130" s="57">
        <f>+C17*12-C42/2+C11</f>
        <v>36.5</v>
      </c>
      <c r="C130" s="48" t="s">
        <v>0</v>
      </c>
      <c r="D130" s="49" t="str">
        <f>IF(B130&gt;B128,"&gt;","&lt;")</f>
        <v>&lt;</v>
      </c>
      <c r="E130" s="49" t="s">
        <v>17</v>
      </c>
      <c r="F130" s="49" t="str">
        <f>IF(D130="&gt;","Limit state not applicable","This procedure applies")</f>
        <v>This procedure applies</v>
      </c>
      <c r="G130" s="49"/>
      <c r="H130" s="49"/>
      <c r="I130" s="50"/>
    </row>
    <row r="131" spans="1:16" ht="18" x14ac:dyDescent="0.35">
      <c r="A131" s="68" t="s">
        <v>58</v>
      </c>
      <c r="B131" s="79">
        <f>+C13*E129*1.6-1.6*0.15*C21*C22*C20/12+1.6*0.15*(C42)/12*(C42)/12*C20/12</f>
        <v>9814.3125</v>
      </c>
      <c r="C131" s="48" t="s">
        <v>18</v>
      </c>
      <c r="D131" s="49"/>
      <c r="E131" s="49"/>
      <c r="F131" s="49"/>
      <c r="G131" s="49"/>
      <c r="H131" s="49"/>
      <c r="I131" s="50"/>
    </row>
    <row r="132" spans="1:16" ht="18.75" x14ac:dyDescent="0.35">
      <c r="A132" s="68" t="s">
        <v>3</v>
      </c>
      <c r="B132" s="79">
        <f>4*(C9*1000)^0.5</f>
        <v>219.08902300206645</v>
      </c>
      <c r="C132" s="48" t="s">
        <v>5</v>
      </c>
      <c r="D132" s="49"/>
      <c r="E132" s="49"/>
      <c r="F132" s="49"/>
      <c r="G132" s="49"/>
      <c r="H132" s="49"/>
      <c r="I132" s="50"/>
    </row>
    <row r="133" spans="1:16" ht="18.75" x14ac:dyDescent="0.35">
      <c r="A133" s="68" t="s">
        <v>4</v>
      </c>
      <c r="B133" s="79">
        <f>+B132*8</f>
        <v>1752.7121840165316</v>
      </c>
      <c r="C133" s="48" t="s">
        <v>5</v>
      </c>
      <c r="D133" s="49"/>
      <c r="E133" s="49"/>
      <c r="F133" s="49"/>
      <c r="G133" s="49"/>
      <c r="H133" s="49"/>
      <c r="I133" s="50"/>
    </row>
    <row r="134" spans="1:16" ht="18" x14ac:dyDescent="0.35">
      <c r="A134" s="68" t="s">
        <v>11</v>
      </c>
      <c r="B134" s="58">
        <f>4*(B127+C42)</f>
        <v>532</v>
      </c>
      <c r="C134" s="48" t="s">
        <v>0</v>
      </c>
      <c r="D134" s="49"/>
      <c r="E134" s="49"/>
      <c r="F134" s="49"/>
      <c r="G134" s="49"/>
      <c r="H134" s="49"/>
      <c r="I134" s="50"/>
    </row>
    <row r="135" spans="1:16" ht="18" x14ac:dyDescent="0.35">
      <c r="A135" s="68" t="s">
        <v>2</v>
      </c>
      <c r="B135" s="58">
        <f>4*C42</f>
        <v>212</v>
      </c>
      <c r="C135" s="48" t="s">
        <v>0</v>
      </c>
      <c r="D135" s="49"/>
      <c r="E135" s="49"/>
      <c r="F135" s="49"/>
      <c r="G135" s="49"/>
      <c r="H135" s="49"/>
      <c r="I135" s="50"/>
      <c r="L135" s="4" t="s">
        <v>83</v>
      </c>
      <c r="O135" s="4">
        <f>+B136/4*B132</f>
        <v>602.50896995140533</v>
      </c>
      <c r="P135" s="4" t="s">
        <v>5</v>
      </c>
    </row>
    <row r="136" spans="1:16" x14ac:dyDescent="0.25">
      <c r="A136" s="68" t="s">
        <v>6</v>
      </c>
      <c r="B136" s="58">
        <f>IF(2*B127/B130*(1+B127/C42)&lt;32,2*B127/B130*(1+B127/C42),32)</f>
        <v>11.000258464719566</v>
      </c>
      <c r="C136" s="48"/>
      <c r="D136" s="49" t="s">
        <v>9</v>
      </c>
      <c r="E136" s="49"/>
      <c r="F136" s="49"/>
      <c r="G136" s="49"/>
      <c r="H136" s="49"/>
      <c r="I136" s="50"/>
    </row>
    <row r="137" spans="1:16" ht="18.75" x14ac:dyDescent="0.35">
      <c r="A137" s="68" t="s">
        <v>7</v>
      </c>
      <c r="B137" s="79">
        <f>+B136*(C9*1000)^0.5*B135*B127/1000</f>
        <v>10218.552130375834</v>
      </c>
      <c r="C137" s="48" t="s">
        <v>18</v>
      </c>
      <c r="D137" s="49" t="s">
        <v>10</v>
      </c>
      <c r="E137" s="49"/>
      <c r="F137" s="49"/>
      <c r="G137" s="49"/>
      <c r="H137" s="49"/>
      <c r="I137" s="50"/>
    </row>
    <row r="138" spans="1:16" ht="18" x14ac:dyDescent="0.35">
      <c r="A138" s="68" t="s">
        <v>12</v>
      </c>
      <c r="B138" s="79">
        <f>+B137*0.85</f>
        <v>8685.769310819458</v>
      </c>
      <c r="C138" s="48" t="s">
        <v>18</v>
      </c>
      <c r="D138" s="49"/>
      <c r="E138" s="49"/>
      <c r="F138" s="49"/>
      <c r="G138" s="49"/>
      <c r="H138" s="49"/>
      <c r="I138" s="50"/>
    </row>
    <row r="139" spans="1:16" ht="18" x14ac:dyDescent="0.35">
      <c r="A139" s="68" t="s">
        <v>14</v>
      </c>
      <c r="B139" s="74">
        <f>+B131/B138</f>
        <v>1.1299301361567096</v>
      </c>
      <c r="C139" s="48"/>
      <c r="D139" s="49"/>
      <c r="E139" s="49"/>
      <c r="F139" s="49"/>
      <c r="G139" s="49"/>
      <c r="H139" s="49"/>
      <c r="I139" s="50"/>
    </row>
    <row r="140" spans="1:16" x14ac:dyDescent="0.25">
      <c r="A140" s="45"/>
      <c r="B140" s="49"/>
      <c r="C140" s="49"/>
      <c r="D140" s="49"/>
      <c r="E140" s="49"/>
      <c r="F140" s="49"/>
      <c r="G140" s="49"/>
      <c r="H140" s="49"/>
      <c r="I140" s="50"/>
    </row>
    <row r="141" spans="1:16" ht="18.75" x14ac:dyDescent="0.3">
      <c r="A141" s="67" t="s">
        <v>134</v>
      </c>
      <c r="B141" s="49"/>
      <c r="C141" s="49"/>
      <c r="D141" s="49"/>
      <c r="E141" s="49"/>
      <c r="F141" s="49"/>
      <c r="G141" s="49"/>
      <c r="H141" s="49"/>
      <c r="I141" s="50"/>
    </row>
    <row r="142" spans="1:16" ht="18.75" x14ac:dyDescent="0.3">
      <c r="A142" s="67" t="s">
        <v>133</v>
      </c>
      <c r="B142" s="49"/>
      <c r="C142" s="49"/>
      <c r="D142" s="49"/>
      <c r="E142" s="49"/>
      <c r="F142" s="49"/>
      <c r="G142" s="49"/>
      <c r="H142" s="49"/>
      <c r="I142" s="50"/>
    </row>
    <row r="143" spans="1:16" x14ac:dyDescent="0.25">
      <c r="A143" s="68" t="s">
        <v>1</v>
      </c>
      <c r="B143" s="53">
        <f>+C20-C14-C15-P21/2</f>
        <v>80.153499999999994</v>
      </c>
      <c r="C143" s="48" t="s">
        <v>0</v>
      </c>
      <c r="D143" s="49"/>
      <c r="E143" s="49"/>
      <c r="F143" s="49"/>
      <c r="G143" s="49"/>
      <c r="H143" s="49"/>
      <c r="I143" s="50"/>
    </row>
    <row r="144" spans="1:16" x14ac:dyDescent="0.25">
      <c r="A144" s="68" t="s">
        <v>64</v>
      </c>
      <c r="B144" s="58">
        <f>+C17*12-C42/2+C11</f>
        <v>36.5</v>
      </c>
      <c r="C144" s="48" t="s">
        <v>0</v>
      </c>
      <c r="D144" s="80"/>
      <c r="E144" s="49"/>
      <c r="F144" s="49"/>
      <c r="G144" s="49"/>
      <c r="H144" s="49"/>
      <c r="I144" s="50"/>
    </row>
    <row r="145" spans="1:16" x14ac:dyDescent="0.25">
      <c r="A145" s="68" t="s">
        <v>65</v>
      </c>
      <c r="B145" s="58">
        <f>MAX(B144/B143,0)</f>
        <v>0.45537624682640188</v>
      </c>
      <c r="C145" s="48"/>
      <c r="D145" s="80" t="str">
        <f>+IF(B145&lt;1,"OK, this limit state should be checked","Limit state not applicable")</f>
        <v>OK, this limit state should be checked</v>
      </c>
      <c r="E145" s="49"/>
      <c r="F145" s="49"/>
      <c r="G145" s="49"/>
      <c r="H145" s="49"/>
      <c r="I145" s="50"/>
    </row>
    <row r="146" spans="1:16" ht="18" x14ac:dyDescent="0.35">
      <c r="A146" s="68" t="s">
        <v>58</v>
      </c>
      <c r="B146" s="79">
        <f>3*1.6*C13-1.6*0.15*C21*C22*C20/12*((C21/2-C42/2/12)/C21)</f>
        <v>3673.2000000000007</v>
      </c>
      <c r="C146" s="48" t="s">
        <v>18</v>
      </c>
      <c r="D146" s="80"/>
      <c r="E146" s="49"/>
      <c r="F146" s="80"/>
      <c r="G146" s="49"/>
      <c r="H146" s="49"/>
      <c r="I146" s="50"/>
    </row>
    <row r="147" spans="1:16" ht="18" x14ac:dyDescent="0.35">
      <c r="A147" s="68" t="s">
        <v>26</v>
      </c>
      <c r="B147" s="79">
        <f>1.6*C13*(3*B144)-1.6*0.15*C21*C22*C20/12*((C21/2-C42/2/12)/C21)*(C21/2-C42/2/12)*12/2</f>
        <v>134363.70000000001</v>
      </c>
      <c r="C147" s="48" t="s">
        <v>27</v>
      </c>
      <c r="D147" s="80"/>
      <c r="E147" s="49"/>
      <c r="F147" s="80"/>
      <c r="G147" s="49"/>
      <c r="H147" s="49"/>
      <c r="I147" s="50"/>
    </row>
    <row r="148" spans="1:16" ht="18" x14ac:dyDescent="0.35">
      <c r="A148" s="68" t="s">
        <v>66</v>
      </c>
      <c r="B148" s="58">
        <f>+B146*B143/B147</f>
        <v>2.1912156051076295</v>
      </c>
      <c r="C148" s="48"/>
      <c r="D148" s="80"/>
      <c r="E148" s="80"/>
      <c r="F148" s="80"/>
      <c r="G148" s="49"/>
      <c r="H148" s="49"/>
      <c r="I148" s="50"/>
      <c r="L148" s="4" t="s">
        <v>83</v>
      </c>
      <c r="O148" s="4">
        <f>+B150/2*B100</f>
        <v>547.72255750516615</v>
      </c>
      <c r="P148" s="4" t="s">
        <v>5</v>
      </c>
    </row>
    <row r="149" spans="1:16" ht="18" x14ac:dyDescent="0.35">
      <c r="A149" s="68" t="s">
        <v>447</v>
      </c>
      <c r="B149" s="58">
        <f>1/B148</f>
        <v>0.45636768817684709</v>
      </c>
      <c r="C149" s="48"/>
      <c r="D149" s="80"/>
      <c r="E149" s="80"/>
      <c r="F149" s="80"/>
      <c r="G149" s="49"/>
      <c r="H149" s="49"/>
      <c r="I149" s="50"/>
    </row>
    <row r="150" spans="1:16" x14ac:dyDescent="0.25">
      <c r="A150" s="68" t="s">
        <v>6</v>
      </c>
      <c r="B150" s="58">
        <f>+MIN(1/B145*(3.5-2.5*B149)*(1.9+0.1*B148),10)</f>
        <v>10</v>
      </c>
      <c r="C150" s="48"/>
      <c r="D150" s="80"/>
      <c r="E150" s="80"/>
      <c r="F150" s="49"/>
      <c r="G150" s="49"/>
      <c r="H150" s="49"/>
      <c r="I150" s="50"/>
    </row>
    <row r="151" spans="1:16" ht="18" x14ac:dyDescent="0.35">
      <c r="A151" s="68" t="s">
        <v>12</v>
      </c>
      <c r="B151" s="79">
        <f>0.85*B150*(C9*1000)^0.5/1000*C22*12*B143</f>
        <v>7164.786818120022</v>
      </c>
      <c r="C151" s="48" t="s">
        <v>18</v>
      </c>
      <c r="D151" s="49"/>
      <c r="E151" s="49"/>
      <c r="F151" s="49"/>
      <c r="G151" s="49"/>
      <c r="H151" s="49"/>
      <c r="I151" s="50"/>
    </row>
    <row r="152" spans="1:16" ht="18" x14ac:dyDescent="0.35">
      <c r="A152" s="68" t="s">
        <v>14</v>
      </c>
      <c r="B152" s="74">
        <f>+B146/B151</f>
        <v>0.5126740115575158</v>
      </c>
      <c r="C152" s="48"/>
      <c r="D152" s="49"/>
      <c r="E152" s="49"/>
      <c r="F152" s="49"/>
      <c r="G152" s="49"/>
      <c r="H152" s="49"/>
      <c r="I152" s="50"/>
    </row>
    <row r="153" spans="1:16" x14ac:dyDescent="0.25">
      <c r="A153" s="45"/>
      <c r="B153" s="49"/>
      <c r="C153" s="49"/>
      <c r="D153" s="49"/>
      <c r="E153" s="49"/>
      <c r="F153" s="49"/>
      <c r="G153" s="49"/>
      <c r="H153" s="49"/>
      <c r="I153" s="50"/>
    </row>
    <row r="154" spans="1:16" ht="18.75" x14ac:dyDescent="0.3">
      <c r="A154" s="67" t="s">
        <v>141</v>
      </c>
      <c r="B154" s="49"/>
      <c r="C154" s="49"/>
      <c r="D154" s="49"/>
      <c r="E154" s="49"/>
      <c r="F154" s="49"/>
      <c r="G154" s="49"/>
      <c r="H154" s="49"/>
      <c r="I154" s="50"/>
    </row>
    <row r="155" spans="1:16" ht="18.75" x14ac:dyDescent="0.3">
      <c r="A155" s="67" t="s">
        <v>142</v>
      </c>
      <c r="B155" s="49"/>
      <c r="C155" s="49"/>
      <c r="D155" s="49"/>
      <c r="E155" s="49"/>
      <c r="F155" s="49"/>
      <c r="G155" s="49"/>
      <c r="H155" s="49"/>
      <c r="I155" s="50"/>
    </row>
    <row r="156" spans="1:16" x14ac:dyDescent="0.25">
      <c r="A156" s="68" t="s">
        <v>1</v>
      </c>
      <c r="B156" s="53">
        <f>+C20-C14-C15-P21-L21/2</f>
        <v>78.460499999999996</v>
      </c>
      <c r="C156" s="48" t="s">
        <v>0</v>
      </c>
      <c r="D156" s="49"/>
      <c r="E156" s="49"/>
      <c r="F156" s="49"/>
      <c r="G156" s="49"/>
      <c r="H156" s="49"/>
      <c r="I156" s="50"/>
    </row>
    <row r="157" spans="1:16" x14ac:dyDescent="0.25">
      <c r="A157" s="68" t="s">
        <v>64</v>
      </c>
      <c r="B157" s="55">
        <f>+C17*12-C42/2+C11</f>
        <v>36.5</v>
      </c>
      <c r="C157" s="48" t="s">
        <v>0</v>
      </c>
      <c r="D157" s="80"/>
      <c r="E157" s="49"/>
      <c r="F157" s="49"/>
      <c r="G157" s="49"/>
      <c r="H157" s="49"/>
      <c r="I157" s="50"/>
    </row>
    <row r="158" spans="1:16" x14ac:dyDescent="0.25">
      <c r="A158" s="68" t="s">
        <v>65</v>
      </c>
      <c r="B158" s="58">
        <f>MAX(B157/B156,0)</f>
        <v>0.46520223551978385</v>
      </c>
      <c r="C158" s="48"/>
      <c r="D158" s="80" t="str">
        <f>+IF(B158&lt;1,"OK, this limit state should be checked","Limit state not applicable")</f>
        <v>OK, this limit state should be checked</v>
      </c>
      <c r="E158" s="49"/>
      <c r="F158" s="49"/>
      <c r="G158" s="49"/>
      <c r="H158" s="49"/>
      <c r="I158" s="50"/>
    </row>
    <row r="159" spans="1:16" ht="18" x14ac:dyDescent="0.35">
      <c r="A159" s="68" t="s">
        <v>58</v>
      </c>
      <c r="B159" s="79">
        <f>3*1.6*C13-1.6*0.15*C21*C22*C20/12*((C22/2-C42/2/12)/C22)</f>
        <v>3673.2000000000007</v>
      </c>
      <c r="C159" s="48" t="s">
        <v>18</v>
      </c>
      <c r="D159" s="80"/>
      <c r="E159" s="49"/>
      <c r="F159" s="80"/>
      <c r="G159" s="49"/>
      <c r="H159" s="49"/>
      <c r="I159" s="50"/>
    </row>
    <row r="160" spans="1:16" ht="18" x14ac:dyDescent="0.35">
      <c r="A160" s="68" t="s">
        <v>26</v>
      </c>
      <c r="B160" s="79">
        <f>1.6*C13*(3*B157)-1.6*0.15*C21*C22*C20/12*((C22/2-C42/2/12)/C22)*(C22/2-C42/2/12)*12/2</f>
        <v>134363.70000000001</v>
      </c>
      <c r="C160" s="48" t="s">
        <v>27</v>
      </c>
      <c r="D160" s="80"/>
      <c r="E160" s="49"/>
      <c r="F160" s="80"/>
      <c r="G160" s="49"/>
      <c r="H160" s="49"/>
      <c r="I160" s="50"/>
    </row>
    <row r="161" spans="1:32" ht="18" x14ac:dyDescent="0.35">
      <c r="A161" s="68" t="s">
        <v>66</v>
      </c>
      <c r="B161" s="58">
        <f>+B159*B156/B160</f>
        <v>2.144932809977695</v>
      </c>
      <c r="C161" s="48"/>
      <c r="D161" s="80"/>
      <c r="E161" s="80"/>
      <c r="F161" s="80"/>
      <c r="G161" s="49"/>
      <c r="H161" s="49"/>
      <c r="I161" s="50"/>
      <c r="L161" s="4" t="s">
        <v>83</v>
      </c>
      <c r="O161" s="4">
        <f>+B163/2*B111</f>
        <v>547.72255750516615</v>
      </c>
      <c r="P161" s="4" t="s">
        <v>5</v>
      </c>
    </row>
    <row r="162" spans="1:32" ht="18" x14ac:dyDescent="0.35">
      <c r="A162" s="68" t="s">
        <v>447</v>
      </c>
      <c r="B162" s="58">
        <f>1/B161</f>
        <v>0.46621506993051171</v>
      </c>
      <c r="C162" s="48"/>
      <c r="D162" s="80"/>
      <c r="E162" s="80"/>
      <c r="F162" s="80"/>
      <c r="G162" s="49"/>
      <c r="H162" s="49"/>
      <c r="I162" s="50"/>
    </row>
    <row r="163" spans="1:32" x14ac:dyDescent="0.25">
      <c r="A163" s="68" t="s">
        <v>6</v>
      </c>
      <c r="B163" s="58">
        <f>+MIN(1/B158*(3.5-2.5*B162)*(1.9+0.1*B161),10)</f>
        <v>10</v>
      </c>
      <c r="C163" s="48"/>
      <c r="D163" s="80"/>
      <c r="E163" s="80"/>
      <c r="F163" s="49"/>
      <c r="G163" s="49"/>
      <c r="H163" s="49"/>
      <c r="I163" s="50"/>
    </row>
    <row r="164" spans="1:32" ht="18" x14ac:dyDescent="0.35">
      <c r="A164" s="68" t="s">
        <v>12</v>
      </c>
      <c r="B164" s="79">
        <f>0.85*B163*(C9*1000)^0.5/1000*C21*12*B156</f>
        <v>7013.4523900154827</v>
      </c>
      <c r="C164" s="48" t="s">
        <v>18</v>
      </c>
      <c r="D164" s="49"/>
      <c r="E164" s="49"/>
      <c r="F164" s="49"/>
      <c r="G164" s="49"/>
      <c r="H164" s="49"/>
      <c r="I164" s="50"/>
    </row>
    <row r="165" spans="1:32" ht="18" x14ac:dyDescent="0.35">
      <c r="A165" s="68" t="s">
        <v>14</v>
      </c>
      <c r="B165" s="74">
        <f>+B159/B164</f>
        <v>0.52373635632420568</v>
      </c>
      <c r="C165" s="49"/>
      <c r="D165" s="49"/>
      <c r="E165" s="49"/>
      <c r="F165" s="49"/>
      <c r="G165" s="49"/>
      <c r="H165" s="49"/>
      <c r="I165" s="50"/>
    </row>
    <row r="166" spans="1:32" x14ac:dyDescent="0.25">
      <c r="A166" s="65"/>
      <c r="B166" s="60"/>
      <c r="C166" s="60"/>
      <c r="D166" s="60"/>
      <c r="E166" s="60"/>
      <c r="F166" s="60"/>
      <c r="G166" s="60"/>
      <c r="H166" s="60"/>
      <c r="I166" s="70" t="s">
        <v>434</v>
      </c>
    </row>
    <row r="167" spans="1:32" ht="18.75" x14ac:dyDescent="0.3">
      <c r="A167" s="71" t="s">
        <v>68</v>
      </c>
      <c r="B167" s="72"/>
      <c r="C167" s="72"/>
      <c r="D167" s="72"/>
      <c r="E167" s="72"/>
      <c r="F167" s="72"/>
      <c r="G167" s="72"/>
      <c r="H167" s="72"/>
      <c r="I167" s="73"/>
      <c r="Q167" s="63" t="s">
        <v>84</v>
      </c>
    </row>
    <row r="168" spans="1:32" x14ac:dyDescent="0.25">
      <c r="A168" s="45" t="s">
        <v>69</v>
      </c>
      <c r="B168" s="49"/>
      <c r="C168" s="49"/>
      <c r="D168" s="49"/>
      <c r="E168" s="49"/>
      <c r="F168" s="49"/>
      <c r="G168" s="49"/>
      <c r="H168" s="49"/>
      <c r="I168" s="50"/>
      <c r="Q168" s="4" t="s">
        <v>1</v>
      </c>
      <c r="T168" s="4">
        <f>+C27</f>
        <v>80</v>
      </c>
      <c r="U168" s="4" t="s">
        <v>0</v>
      </c>
      <c r="W168" s="64"/>
    </row>
    <row r="169" spans="1:32" x14ac:dyDescent="0.25">
      <c r="A169" s="68" t="s">
        <v>448</v>
      </c>
      <c r="B169" s="85">
        <f>+C22*C21*C20/12/27</f>
        <v>71.111111111111114</v>
      </c>
      <c r="C169" s="48" t="s">
        <v>449</v>
      </c>
      <c r="D169" s="49"/>
      <c r="E169" s="49"/>
      <c r="F169" s="49"/>
      <c r="G169" s="49"/>
      <c r="H169" s="49"/>
      <c r="I169" s="50"/>
      <c r="Q169" s="4" t="s">
        <v>54</v>
      </c>
      <c r="T169" s="4">
        <f>+T168/2</f>
        <v>40</v>
      </c>
      <c r="U169" s="4" t="s">
        <v>0</v>
      </c>
      <c r="W169" s="64"/>
    </row>
    <row r="170" spans="1:32" x14ac:dyDescent="0.25">
      <c r="A170" s="45"/>
      <c r="B170" s="49"/>
      <c r="C170" s="49"/>
      <c r="D170" s="49"/>
      <c r="E170" s="49"/>
      <c r="F170" s="49"/>
      <c r="G170" s="49"/>
      <c r="H170" s="49"/>
      <c r="I170" s="50"/>
      <c r="Q170" s="4" t="s">
        <v>114</v>
      </c>
      <c r="R170" s="64"/>
      <c r="T170" s="64">
        <f>+M29+T168</f>
        <v>100</v>
      </c>
      <c r="U170" s="4" t="s">
        <v>0</v>
      </c>
      <c r="V170" s="64"/>
      <c r="W170" s="64"/>
    </row>
    <row r="171" spans="1:32" ht="17.25" x14ac:dyDescent="0.25">
      <c r="A171" s="45" t="s">
        <v>70</v>
      </c>
      <c r="B171" s="49"/>
      <c r="C171" s="49"/>
      <c r="D171" s="49"/>
      <c r="E171" s="49"/>
      <c r="F171" s="49"/>
      <c r="G171" s="49"/>
      <c r="H171" s="49"/>
      <c r="I171" s="50"/>
      <c r="Q171" s="4" t="s">
        <v>85</v>
      </c>
      <c r="R171" s="64"/>
      <c r="S171" s="64"/>
      <c r="T171" s="64">
        <f>3.1415*T170*T168</f>
        <v>25132.000000000004</v>
      </c>
      <c r="U171" s="4" t="s">
        <v>35</v>
      </c>
    </row>
    <row r="172" spans="1:32" ht="18.75" x14ac:dyDescent="0.35">
      <c r="A172" s="45"/>
      <c r="B172" s="53">
        <f>+C65</f>
        <v>18</v>
      </c>
      <c r="C172" s="48" t="s">
        <v>71</v>
      </c>
      <c r="D172" s="83" t="str">
        <f>"#"&amp;+C23</f>
        <v>#14</v>
      </c>
      <c r="E172" s="49" t="s">
        <v>72</v>
      </c>
      <c r="F172" s="49" t="s">
        <v>73</v>
      </c>
      <c r="G172" s="57">
        <f>+C22-0.5</f>
        <v>15.5</v>
      </c>
      <c r="H172" s="48" t="s">
        <v>74</v>
      </c>
      <c r="I172" s="50"/>
      <c r="Q172" s="4" t="s">
        <v>3</v>
      </c>
      <c r="R172" s="4">
        <f>4*(C9*1000)^0.5</f>
        <v>219.08902300206645</v>
      </c>
      <c r="S172" s="4" t="s">
        <v>5</v>
      </c>
      <c r="AB172" s="4" t="s">
        <v>86</v>
      </c>
      <c r="AE172" s="4">
        <f>+R175/T171*1000</f>
        <v>47.024833877128756</v>
      </c>
      <c r="AF172" s="4" t="s">
        <v>5</v>
      </c>
    </row>
    <row r="173" spans="1:32" ht="18.75" x14ac:dyDescent="0.35">
      <c r="A173" s="45"/>
      <c r="B173" s="55">
        <f>+B172*2</f>
        <v>36</v>
      </c>
      <c r="C173" s="48" t="s">
        <v>71</v>
      </c>
      <c r="D173" s="49"/>
      <c r="E173" s="49" t="s">
        <v>75</v>
      </c>
      <c r="F173" s="49" t="s">
        <v>73</v>
      </c>
      <c r="G173" s="74">
        <f>+M19/12</f>
        <v>2.0749831250000006</v>
      </c>
      <c r="H173" s="48" t="s">
        <v>74</v>
      </c>
      <c r="I173" s="50"/>
      <c r="Q173" s="4" t="s">
        <v>7</v>
      </c>
      <c r="R173" s="4">
        <f>+R172*T171/1000</f>
        <v>5506.1453260879352</v>
      </c>
      <c r="S173" s="4" t="s">
        <v>8</v>
      </c>
      <c r="T173" s="4" t="s">
        <v>87</v>
      </c>
    </row>
    <row r="174" spans="1:32" ht="18" x14ac:dyDescent="0.35">
      <c r="A174" s="68" t="s">
        <v>76</v>
      </c>
      <c r="B174" s="86">
        <f>+B172*G172*L22/144*490+B173*G173*L22/144*490</f>
        <v>2709.3111902435116</v>
      </c>
      <c r="C174" s="48" t="s">
        <v>78</v>
      </c>
      <c r="D174" s="49"/>
      <c r="E174" s="49"/>
      <c r="F174" s="49"/>
      <c r="G174" s="49"/>
      <c r="H174" s="48"/>
      <c r="I174" s="50"/>
      <c r="Q174" s="4" t="s">
        <v>12</v>
      </c>
      <c r="R174" s="4">
        <f>+R173*0.85</f>
        <v>4680.223527174745</v>
      </c>
      <c r="S174" s="4" t="s">
        <v>8</v>
      </c>
    </row>
    <row r="175" spans="1:32" ht="18" x14ac:dyDescent="0.35">
      <c r="A175" s="45" t="s">
        <v>77</v>
      </c>
      <c r="B175" s="49"/>
      <c r="C175" s="48"/>
      <c r="D175" s="49"/>
      <c r="E175" s="49"/>
      <c r="F175" s="49"/>
      <c r="G175" s="49"/>
      <c r="H175" s="48"/>
      <c r="I175" s="50"/>
      <c r="Q175" s="4" t="s">
        <v>58</v>
      </c>
      <c r="R175" s="4">
        <f>1.6*C13-1.6*(3.1415*(T170/12)^2/4*C20/12*0.15)</f>
        <v>1181.828125</v>
      </c>
      <c r="S175" s="4" t="s">
        <v>8</v>
      </c>
      <c r="T175" s="4" t="s">
        <v>350</v>
      </c>
    </row>
    <row r="176" spans="1:32" ht="18" x14ac:dyDescent="0.35">
      <c r="A176" s="45"/>
      <c r="B176" s="53">
        <f>+C83</f>
        <v>18</v>
      </c>
      <c r="C176" s="48" t="s">
        <v>71</v>
      </c>
      <c r="D176" s="83" t="str">
        <f>"#"&amp;+C24</f>
        <v>#14</v>
      </c>
      <c r="E176" s="49" t="s">
        <v>72</v>
      </c>
      <c r="F176" s="49" t="s">
        <v>73</v>
      </c>
      <c r="G176" s="57">
        <f>+C21-0.5</f>
        <v>15.5</v>
      </c>
      <c r="H176" s="48" t="s">
        <v>74</v>
      </c>
      <c r="I176" s="50"/>
      <c r="Q176" s="4" t="s">
        <v>14</v>
      </c>
      <c r="R176" s="4">
        <f>+R175/R174</f>
        <v>0.25251531644545622</v>
      </c>
    </row>
    <row r="177" spans="1:32" x14ac:dyDescent="0.25">
      <c r="A177" s="45"/>
      <c r="B177" s="55">
        <f>+B176*2</f>
        <v>36</v>
      </c>
      <c r="C177" s="48" t="s">
        <v>71</v>
      </c>
      <c r="D177" s="49"/>
      <c r="E177" s="49" t="s">
        <v>75</v>
      </c>
      <c r="F177" s="49" t="s">
        <v>73</v>
      </c>
      <c r="G177" s="74">
        <f>+M20/12</f>
        <v>2.0749831250000006</v>
      </c>
      <c r="H177" s="48" t="s">
        <v>74</v>
      </c>
      <c r="I177" s="50"/>
    </row>
    <row r="178" spans="1:32" ht="18.75" x14ac:dyDescent="0.3">
      <c r="A178" s="68" t="s">
        <v>76</v>
      </c>
      <c r="B178" s="86">
        <f>+B176*G176*P22/144*490+B177*G177*P22/144*490</f>
        <v>2709.3111902435116</v>
      </c>
      <c r="C178" s="48" t="s">
        <v>78</v>
      </c>
      <c r="D178" s="49"/>
      <c r="E178" s="49"/>
      <c r="F178" s="49"/>
      <c r="G178" s="49"/>
      <c r="H178" s="49"/>
      <c r="I178" s="50"/>
      <c r="Q178" s="63" t="s">
        <v>89</v>
      </c>
    </row>
    <row r="179" spans="1:32" x14ac:dyDescent="0.25">
      <c r="A179" s="45"/>
      <c r="B179" s="49"/>
      <c r="C179" s="49"/>
      <c r="D179" s="49"/>
      <c r="E179" s="49"/>
      <c r="F179" s="49"/>
      <c r="G179" s="49"/>
      <c r="H179" s="49"/>
      <c r="I179" s="50"/>
      <c r="Q179" s="4" t="s">
        <v>1</v>
      </c>
      <c r="T179" s="4">
        <f>+C27</f>
        <v>80</v>
      </c>
      <c r="U179" s="4" t="s">
        <v>0</v>
      </c>
      <c r="V179" s="4" t="s">
        <v>53</v>
      </c>
      <c r="W179" s="64"/>
    </row>
    <row r="180" spans="1:32" x14ac:dyDescent="0.25">
      <c r="A180" s="45"/>
      <c r="B180" s="46" t="s">
        <v>450</v>
      </c>
      <c r="C180" s="87">
        <f>+B178+B174</f>
        <v>5418.6223804870233</v>
      </c>
      <c r="D180" s="48" t="s">
        <v>78</v>
      </c>
      <c r="E180" s="49" t="s">
        <v>79</v>
      </c>
      <c r="F180" s="88">
        <f>+C180/2000</f>
        <v>2.7093111902435116</v>
      </c>
      <c r="G180" s="48" t="s">
        <v>19</v>
      </c>
      <c r="H180" s="49"/>
      <c r="I180" s="50"/>
      <c r="Q180" s="4" t="s">
        <v>54</v>
      </c>
      <c r="T180" s="4">
        <f>+T179/2</f>
        <v>40</v>
      </c>
      <c r="U180" s="4" t="s">
        <v>0</v>
      </c>
      <c r="W180" s="64"/>
    </row>
    <row r="181" spans="1:32" x14ac:dyDescent="0.25">
      <c r="A181" s="45"/>
      <c r="B181" s="49"/>
      <c r="C181" s="49"/>
      <c r="D181" s="49"/>
      <c r="E181" s="49"/>
      <c r="F181" s="49"/>
      <c r="G181" s="49"/>
      <c r="H181" s="49"/>
      <c r="I181" s="50"/>
      <c r="Q181" s="4" t="s">
        <v>144</v>
      </c>
      <c r="R181" s="64"/>
      <c r="T181" s="64">
        <f>+C17*12*2</f>
        <v>120</v>
      </c>
      <c r="U181" s="4" t="s">
        <v>0</v>
      </c>
      <c r="W181" s="64"/>
    </row>
    <row r="182" spans="1:32" x14ac:dyDescent="0.25">
      <c r="A182" s="45"/>
      <c r="B182" s="49"/>
      <c r="C182" s="49"/>
      <c r="D182" s="49"/>
      <c r="E182" s="49"/>
      <c r="F182" s="49"/>
      <c r="G182" s="49"/>
      <c r="H182" s="49"/>
      <c r="I182" s="50"/>
      <c r="Q182" s="4" t="s">
        <v>143</v>
      </c>
      <c r="R182" s="64"/>
      <c r="T182" s="64">
        <f>+(M29+T168)*3.1415</f>
        <v>314.15000000000003</v>
      </c>
      <c r="U182" s="4" t="s">
        <v>0</v>
      </c>
      <c r="V182" s="64"/>
      <c r="W182" s="64"/>
    </row>
    <row r="183" spans="1:32" ht="17.25" x14ac:dyDescent="0.25">
      <c r="A183" s="42" t="s">
        <v>451</v>
      </c>
      <c r="B183" s="43"/>
      <c r="C183" s="43"/>
      <c r="D183" s="43"/>
      <c r="E183" s="43"/>
      <c r="F183" s="43"/>
      <c r="G183" s="43"/>
      <c r="H183" s="43"/>
      <c r="I183" s="44"/>
      <c r="Q183" s="4" t="s">
        <v>85</v>
      </c>
      <c r="R183" s="64"/>
      <c r="S183" s="64"/>
      <c r="T183" s="64">
        <f>+(T182+T181)*T179</f>
        <v>34732</v>
      </c>
      <c r="U183" s="4" t="s">
        <v>35</v>
      </c>
    </row>
    <row r="184" spans="1:32" ht="18.75" x14ac:dyDescent="0.35">
      <c r="A184" s="89"/>
      <c r="B184" s="43"/>
      <c r="C184" s="43"/>
      <c r="D184" s="43"/>
      <c r="E184" s="43"/>
      <c r="F184" s="43"/>
      <c r="G184" s="43"/>
      <c r="H184" s="43"/>
      <c r="I184" s="44"/>
      <c r="Q184" s="4" t="s">
        <v>3</v>
      </c>
      <c r="R184" s="4">
        <f>4*(C9*1000)^0.5</f>
        <v>219.08902300206645</v>
      </c>
      <c r="S184" s="4" t="s">
        <v>5</v>
      </c>
      <c r="AB184" s="4" t="s">
        <v>86</v>
      </c>
      <c r="AE184" s="4">
        <f>+R187/T183*1000</f>
        <v>68.721298082459981</v>
      </c>
      <c r="AF184" s="4" t="s">
        <v>5</v>
      </c>
    </row>
    <row r="185" spans="1:32" ht="18.75" x14ac:dyDescent="0.35">
      <c r="A185" s="89"/>
      <c r="B185" s="43"/>
      <c r="C185" s="43"/>
      <c r="D185" s="43"/>
      <c r="E185" s="43"/>
      <c r="F185" s="43"/>
      <c r="G185" s="43"/>
      <c r="H185" s="43"/>
      <c r="I185" s="44"/>
      <c r="Q185" s="4" t="s">
        <v>7</v>
      </c>
      <c r="R185" s="4">
        <f>+R184*T183/1000</f>
        <v>7609.3999469077717</v>
      </c>
      <c r="S185" s="4" t="s">
        <v>8</v>
      </c>
      <c r="T185" s="4" t="s">
        <v>87</v>
      </c>
    </row>
    <row r="186" spans="1:32" ht="18" x14ac:dyDescent="0.35">
      <c r="A186" s="89"/>
      <c r="B186" s="43"/>
      <c r="C186" s="43"/>
      <c r="D186" s="43"/>
      <c r="E186" s="43"/>
      <c r="F186" s="43"/>
      <c r="G186" s="43"/>
      <c r="H186" s="43"/>
      <c r="I186" s="44"/>
      <c r="Q186" s="4" t="s">
        <v>12</v>
      </c>
      <c r="R186" s="4">
        <f>+R185*0.85</f>
        <v>6467.9899548716057</v>
      </c>
      <c r="S186" s="4" t="s">
        <v>8</v>
      </c>
    </row>
    <row r="187" spans="1:32" ht="18" x14ac:dyDescent="0.35">
      <c r="A187" s="89"/>
      <c r="B187" s="43"/>
      <c r="C187" s="43"/>
      <c r="D187" s="43"/>
      <c r="E187" s="43"/>
      <c r="F187" s="43"/>
      <c r="G187" s="43"/>
      <c r="H187" s="43"/>
      <c r="I187" s="44"/>
      <c r="Q187" s="4" t="s">
        <v>58</v>
      </c>
      <c r="R187" s="4">
        <f>2*1.6*C13-1.6*(C17*(C16/12+T179/12)+3.1415*(C16/12+T179/12)^2/4)*C20/12*0.15</f>
        <v>2386.828125</v>
      </c>
      <c r="S187" s="4" t="s">
        <v>8</v>
      </c>
      <c r="T187" s="4" t="s">
        <v>350</v>
      </c>
    </row>
    <row r="188" spans="1:32" ht="18" x14ac:dyDescent="0.35">
      <c r="A188" s="89"/>
      <c r="B188" s="43"/>
      <c r="C188" s="43"/>
      <c r="D188" s="43"/>
      <c r="E188" s="43"/>
      <c r="F188" s="43"/>
      <c r="G188" s="43"/>
      <c r="H188" s="43"/>
      <c r="I188" s="44"/>
      <c r="Q188" s="4" t="s">
        <v>14</v>
      </c>
      <c r="R188" s="4">
        <f>+R187/R186</f>
        <v>0.36902161902744951</v>
      </c>
    </row>
    <row r="189" spans="1:32" x14ac:dyDescent="0.25">
      <c r="A189" s="89"/>
      <c r="B189" s="43"/>
      <c r="C189" s="43"/>
      <c r="D189" s="43"/>
      <c r="E189" s="43"/>
      <c r="F189" s="43"/>
      <c r="G189" s="43"/>
      <c r="H189" s="43"/>
      <c r="I189" s="44"/>
    </row>
    <row r="190" spans="1:32" ht="18.75" x14ac:dyDescent="0.3">
      <c r="A190" s="89"/>
      <c r="B190" s="43"/>
      <c r="C190" s="43"/>
      <c r="D190" s="43"/>
      <c r="E190" s="43"/>
      <c r="F190" s="43"/>
      <c r="G190" s="43"/>
      <c r="H190" s="43"/>
      <c r="I190" s="44"/>
      <c r="Q190" s="63" t="s">
        <v>88</v>
      </c>
    </row>
    <row r="191" spans="1:32" x14ac:dyDescent="0.25">
      <c r="A191" s="89"/>
      <c r="B191" s="43"/>
      <c r="C191" s="43"/>
      <c r="D191" s="43"/>
      <c r="E191" s="43"/>
      <c r="F191" s="43"/>
      <c r="G191" s="43"/>
      <c r="H191" s="43"/>
      <c r="I191" s="44"/>
      <c r="Q191" s="4" t="s">
        <v>1</v>
      </c>
      <c r="T191" s="4">
        <f>+C27</f>
        <v>80</v>
      </c>
      <c r="U191" s="4" t="s">
        <v>0</v>
      </c>
      <c r="V191" s="4" t="s">
        <v>53</v>
      </c>
      <c r="W191" s="64"/>
    </row>
    <row r="192" spans="1:32" x14ac:dyDescent="0.25">
      <c r="A192" s="89"/>
      <c r="B192" s="43"/>
      <c r="C192" s="43"/>
      <c r="D192" s="43"/>
      <c r="E192" s="43"/>
      <c r="F192" s="43"/>
      <c r="G192" s="43"/>
      <c r="H192" s="43"/>
      <c r="I192" s="44"/>
      <c r="Q192" s="4" t="s">
        <v>54</v>
      </c>
      <c r="T192" s="4">
        <f>+T191/2</f>
        <v>40</v>
      </c>
      <c r="U192" s="4" t="s">
        <v>0</v>
      </c>
      <c r="W192" s="64"/>
    </row>
    <row r="193" spans="1:32" x14ac:dyDescent="0.25">
      <c r="A193" s="89"/>
      <c r="B193" s="43"/>
      <c r="C193" s="43"/>
      <c r="D193" s="43"/>
      <c r="E193" s="43"/>
      <c r="F193" s="43"/>
      <c r="G193" s="43"/>
      <c r="H193" s="43"/>
      <c r="I193" s="44"/>
      <c r="Q193" s="4" t="s">
        <v>145</v>
      </c>
      <c r="R193" s="64"/>
      <c r="T193" s="64">
        <f>2*C18+3.1415*T170/4</f>
        <v>150.53750000000002</v>
      </c>
      <c r="U193" s="4" t="s">
        <v>0</v>
      </c>
      <c r="V193" s="64"/>
      <c r="W193" s="64"/>
    </row>
    <row r="194" spans="1:32" ht="17.25" x14ac:dyDescent="0.25">
      <c r="A194" s="89"/>
      <c r="B194" s="43"/>
      <c r="C194" s="43"/>
      <c r="D194" s="43"/>
      <c r="E194" s="43"/>
      <c r="F194" s="43"/>
      <c r="G194" s="43"/>
      <c r="H194" s="43"/>
      <c r="I194" s="44"/>
      <c r="Q194" s="4" t="s">
        <v>85</v>
      </c>
      <c r="R194" s="64"/>
      <c r="S194" s="64"/>
      <c r="T194" s="64">
        <f>+T193*T191</f>
        <v>12043.000000000002</v>
      </c>
      <c r="U194" s="4" t="s">
        <v>35</v>
      </c>
    </row>
    <row r="195" spans="1:32" ht="18.75" x14ac:dyDescent="0.35">
      <c r="A195" s="89"/>
      <c r="B195" s="43"/>
      <c r="C195" s="43"/>
      <c r="D195" s="43"/>
      <c r="E195" s="43"/>
      <c r="F195" s="43"/>
      <c r="G195" s="43"/>
      <c r="H195" s="43"/>
      <c r="I195" s="44"/>
      <c r="Q195" s="4" t="s">
        <v>3</v>
      </c>
      <c r="R195" s="4">
        <f>4*(C9*1000)^0.5</f>
        <v>219.08902300206645</v>
      </c>
      <c r="S195" s="4" t="s">
        <v>5</v>
      </c>
      <c r="AB195" s="4" t="s">
        <v>86</v>
      </c>
      <c r="AE195" s="4">
        <f>+R198/T194*1000</f>
        <v>99.166074171717995</v>
      </c>
      <c r="AF195" s="4" t="s">
        <v>5</v>
      </c>
    </row>
    <row r="196" spans="1:32" ht="18.75" x14ac:dyDescent="0.35">
      <c r="A196" s="89"/>
      <c r="B196" s="43"/>
      <c r="C196" s="43"/>
      <c r="D196" s="43"/>
      <c r="E196" s="43"/>
      <c r="F196" s="43"/>
      <c r="G196" s="43"/>
      <c r="H196" s="43"/>
      <c r="I196" s="44"/>
      <c r="Q196" s="4" t="s">
        <v>7</v>
      </c>
      <c r="R196" s="4">
        <f>+R195*T194/1000</f>
        <v>2638.4891040138868</v>
      </c>
      <c r="S196" s="4" t="s">
        <v>8</v>
      </c>
      <c r="T196" s="4" t="s">
        <v>87</v>
      </c>
    </row>
    <row r="197" spans="1:32" ht="18" x14ac:dyDescent="0.35">
      <c r="A197" s="89"/>
      <c r="B197" s="43"/>
      <c r="C197" s="43"/>
      <c r="D197" s="43"/>
      <c r="E197" s="43"/>
      <c r="F197" s="43"/>
      <c r="G197" s="43"/>
      <c r="H197" s="43"/>
      <c r="I197" s="44"/>
      <c r="Q197" s="4" t="s">
        <v>12</v>
      </c>
      <c r="R197" s="4">
        <f>+R196*0.85</f>
        <v>2242.7157384118036</v>
      </c>
      <c r="S197" s="4" t="s">
        <v>8</v>
      </c>
    </row>
    <row r="198" spans="1:32" ht="18" x14ac:dyDescent="0.35">
      <c r="A198" s="89"/>
      <c r="B198" s="43"/>
      <c r="C198" s="43"/>
      <c r="D198" s="43"/>
      <c r="E198" s="43"/>
      <c r="F198" s="43"/>
      <c r="G198" s="43"/>
      <c r="H198" s="43"/>
      <c r="I198" s="44"/>
      <c r="Q198" s="4" t="s">
        <v>58</v>
      </c>
      <c r="R198" s="4">
        <f>1.6*C13-1.6*V199*C20/12*0.15</f>
        <v>1194.25703125</v>
      </c>
      <c r="S198" s="4" t="s">
        <v>8</v>
      </c>
      <c r="T198" s="4" t="s">
        <v>350</v>
      </c>
    </row>
    <row r="199" spans="1:32" ht="18.75" x14ac:dyDescent="0.35">
      <c r="A199" s="89"/>
      <c r="B199" s="43"/>
      <c r="C199" s="43"/>
      <c r="D199" s="43"/>
      <c r="E199" s="43"/>
      <c r="F199" s="43"/>
      <c r="G199" s="43"/>
      <c r="H199" s="43"/>
      <c r="I199" s="44"/>
      <c r="Q199" s="4" t="s">
        <v>14</v>
      </c>
      <c r="R199" s="4">
        <f>+R198/R197</f>
        <v>0.53250486042235667</v>
      </c>
      <c r="T199" s="4" t="s">
        <v>146</v>
      </c>
      <c r="V199" s="4">
        <f>+(C18*C18+C18*T170+3.1415*T170^2/4/4)/144</f>
        <v>47.634982638888886</v>
      </c>
      <c r="W199" s="4" t="s">
        <v>147</v>
      </c>
    </row>
    <row r="200" spans="1:32" x14ac:dyDescent="0.25">
      <c r="A200" s="89"/>
      <c r="B200" s="43"/>
      <c r="C200" s="43"/>
      <c r="D200" s="43"/>
      <c r="E200" s="43"/>
      <c r="F200" s="43"/>
      <c r="G200" s="43"/>
      <c r="H200" s="43"/>
      <c r="I200" s="44"/>
    </row>
    <row r="201" spans="1:32" ht="20.25" x14ac:dyDescent="0.35">
      <c r="A201" s="89"/>
      <c r="B201" s="43"/>
      <c r="C201" s="43"/>
      <c r="D201" s="43"/>
      <c r="E201" s="43"/>
      <c r="F201" s="43"/>
      <c r="G201" s="43"/>
      <c r="H201" s="43"/>
      <c r="I201" s="44"/>
      <c r="Q201" s="63" t="s">
        <v>94</v>
      </c>
    </row>
    <row r="202" spans="1:32" x14ac:dyDescent="0.25">
      <c r="A202" s="89"/>
      <c r="B202" s="43"/>
      <c r="C202" s="43"/>
      <c r="D202" s="43"/>
      <c r="E202" s="43"/>
      <c r="F202" s="43"/>
      <c r="G202" s="43"/>
      <c r="H202" s="43"/>
      <c r="I202" s="44"/>
      <c r="Q202" s="4" t="s">
        <v>1</v>
      </c>
      <c r="T202" s="4">
        <f>+C27</f>
        <v>80</v>
      </c>
      <c r="U202" s="4" t="s">
        <v>0</v>
      </c>
      <c r="V202" s="4" t="s">
        <v>53</v>
      </c>
      <c r="W202" s="64"/>
    </row>
    <row r="203" spans="1:32" ht="18" x14ac:dyDescent="0.35">
      <c r="A203" s="89"/>
      <c r="B203" s="43"/>
      <c r="C203" s="43"/>
      <c r="D203" s="43"/>
      <c r="E203" s="43"/>
      <c r="F203" s="43"/>
      <c r="G203" s="43"/>
      <c r="H203" s="43"/>
      <c r="I203" s="44"/>
      <c r="Q203" s="4" t="s">
        <v>90</v>
      </c>
      <c r="T203" s="4">
        <f>MIN(T202,13)</f>
        <v>13</v>
      </c>
      <c r="U203" s="4" t="s">
        <v>0</v>
      </c>
      <c r="V203" s="4" t="s">
        <v>91</v>
      </c>
      <c r="W203" s="64"/>
    </row>
    <row r="204" spans="1:32" x14ac:dyDescent="0.25">
      <c r="A204" s="89"/>
      <c r="B204" s="43"/>
      <c r="C204" s="43"/>
      <c r="D204" s="43"/>
      <c r="E204" s="43"/>
      <c r="F204" s="43"/>
      <c r="G204" s="43"/>
      <c r="H204" s="43"/>
      <c r="I204" s="44"/>
      <c r="Q204" s="4" t="s">
        <v>92</v>
      </c>
      <c r="R204" s="64"/>
      <c r="T204" s="64">
        <f>2*(1.4142*C18+C16/2+T203)</f>
        <v>147.82239999999999</v>
      </c>
      <c r="U204" s="4" t="s">
        <v>0</v>
      </c>
      <c r="V204" s="64"/>
      <c r="W204" s="64"/>
    </row>
    <row r="205" spans="1:32" ht="17.25" x14ac:dyDescent="0.25">
      <c r="A205" s="89"/>
      <c r="B205" s="43"/>
      <c r="C205" s="43"/>
      <c r="D205" s="43"/>
      <c r="E205" s="43"/>
      <c r="F205" s="43"/>
      <c r="G205" s="43"/>
      <c r="H205" s="43"/>
      <c r="I205" s="44"/>
      <c r="Q205" s="4" t="s">
        <v>85</v>
      </c>
      <c r="R205" s="64"/>
      <c r="S205" s="64"/>
      <c r="T205" s="64">
        <f>+T204*T202</f>
        <v>11825.791999999999</v>
      </c>
      <c r="U205" s="4" t="s">
        <v>35</v>
      </c>
    </row>
    <row r="206" spans="1:32" ht="18.75" x14ac:dyDescent="0.35">
      <c r="A206" s="89"/>
      <c r="B206" s="43"/>
      <c r="C206" s="43"/>
      <c r="D206" s="43"/>
      <c r="E206" s="43"/>
      <c r="F206" s="43"/>
      <c r="G206" s="43"/>
      <c r="H206" s="43"/>
      <c r="I206" s="44"/>
      <c r="Q206" s="4" t="s">
        <v>61</v>
      </c>
      <c r="R206" s="4">
        <f>2*(C9*1000)^0.5</f>
        <v>109.54451150103323</v>
      </c>
      <c r="S206" s="4" t="s">
        <v>5</v>
      </c>
      <c r="AB206" s="4" t="s">
        <v>86</v>
      </c>
      <c r="AE206" s="4">
        <f>+R209/T205*1000</f>
        <v>102.46379195186252</v>
      </c>
      <c r="AF206" s="4" t="s">
        <v>5</v>
      </c>
    </row>
    <row r="207" spans="1:32" ht="18.75" x14ac:dyDescent="0.35">
      <c r="A207" s="90"/>
      <c r="B207" s="91"/>
      <c r="C207" s="91"/>
      <c r="D207" s="91"/>
      <c r="E207" s="91"/>
      <c r="F207" s="91"/>
      <c r="G207" s="91"/>
      <c r="H207" s="91"/>
      <c r="I207" s="92"/>
      <c r="Q207" s="4" t="s">
        <v>7</v>
      </c>
      <c r="R207" s="4">
        <f>+R206*T205/1000</f>
        <v>1295.4506077528267</v>
      </c>
      <c r="S207" s="4" t="s">
        <v>8</v>
      </c>
      <c r="T207" s="4" t="s">
        <v>93</v>
      </c>
    </row>
    <row r="208" spans="1:32" ht="18" x14ac:dyDescent="0.35">
      <c r="Q208" s="4" t="s">
        <v>12</v>
      </c>
      <c r="R208" s="4">
        <f>+R207*0.85</f>
        <v>1101.1330165899026</v>
      </c>
      <c r="S208" s="4" t="s">
        <v>8</v>
      </c>
    </row>
    <row r="209" spans="1:20" ht="18" x14ac:dyDescent="0.35">
      <c r="Q209" s="4" t="s">
        <v>58</v>
      </c>
      <c r="R209" s="4">
        <f>1.6*C13-1.6*(T204*0.7071/12*T204*0.7071/2/12)*C20/12*0.15</f>
        <v>1211.7154911540001</v>
      </c>
      <c r="S209" s="4" t="s">
        <v>8</v>
      </c>
      <c r="T209" s="4" t="s">
        <v>350</v>
      </c>
    </row>
    <row r="210" spans="1:20" ht="18" x14ac:dyDescent="0.35">
      <c r="Q210" s="4" t="s">
        <v>14</v>
      </c>
      <c r="R210" s="4">
        <f>+R209/R208</f>
        <v>1.1004260819519882</v>
      </c>
    </row>
    <row r="215" spans="1:20" ht="18.75" x14ac:dyDescent="0.3">
      <c r="A215" s="63"/>
    </row>
    <row r="217" spans="1:20" x14ac:dyDescent="0.25">
      <c r="B217" s="64"/>
      <c r="D217" s="64"/>
    </row>
    <row r="218" spans="1:20" x14ac:dyDescent="0.25">
      <c r="B218" s="64"/>
      <c r="D218" s="64"/>
    </row>
    <row r="219" spans="1:20" x14ac:dyDescent="0.25">
      <c r="D219" s="64"/>
      <c r="F219" s="64"/>
    </row>
    <row r="220" spans="1:20" x14ac:dyDescent="0.25">
      <c r="D220" s="64"/>
      <c r="F220" s="64"/>
    </row>
    <row r="221" spans="1:20" x14ac:dyDescent="0.25">
      <c r="B221" s="64"/>
      <c r="C221" s="64"/>
      <c r="D221" s="64"/>
      <c r="E221" s="64"/>
      <c r="F221" s="64"/>
    </row>
    <row r="222" spans="1:20" x14ac:dyDescent="0.25">
      <c r="B222" s="64"/>
      <c r="C222" s="64"/>
      <c r="D222" s="64"/>
      <c r="E222" s="64"/>
      <c r="F222" s="64"/>
    </row>
    <row r="223" spans="1:20" x14ac:dyDescent="0.25">
      <c r="B223" s="64"/>
      <c r="C223" s="64"/>
      <c r="D223" s="64"/>
      <c r="E223" s="64"/>
    </row>
    <row r="227" spans="1:1" ht="18.75" x14ac:dyDescent="0.3">
      <c r="A227" s="63"/>
    </row>
  </sheetData>
  <dataValidations count="8">
    <dataValidation type="list" allowBlank="1" showInputMessage="1" showErrorMessage="1" error="Outside of permitted range!" sqref="C9">
      <formula1>$J$1:$J$2</formula1>
    </dataValidation>
    <dataValidation type="list" allowBlank="1" showInputMessage="1" showErrorMessage="1" error="Outside range!" sqref="C10">
      <formula1>$K$1</formula1>
    </dataValidation>
    <dataValidation type="list" allowBlank="1" showInputMessage="1" showErrorMessage="1" error="Outside permitted range!" sqref="C11">
      <formula1>$L$1:$L$7</formula1>
    </dataValidation>
    <dataValidation type="list" allowBlank="1" showInputMessage="1" showErrorMessage="1" error="Not permitted!" sqref="C7">
      <formula1>$M$1:$M$3</formula1>
    </dataValidation>
    <dataValidation type="list" allowBlank="1" showInputMessage="1" showErrorMessage="1" error="Not Permitted!" sqref="C23:C24">
      <formula1>$O$1:$O$10</formula1>
    </dataValidation>
    <dataValidation type="list" allowBlank="1" showInputMessage="1" showErrorMessage="1" error="Invalid Entry!" sqref="C8">
      <formula1>$N$1:$N$2</formula1>
    </dataValidation>
    <dataValidation type="list" allowBlank="1" showInputMessage="1" showErrorMessage="1" error="Invalid Entry" sqref="C12">
      <formula1>$P$1:$P$15</formula1>
    </dataValidation>
    <dataValidation type="list" allowBlank="1" showInputMessage="1" showErrorMessage="1" sqref="C15">
      <formula1>$O$11:$O$13</formula1>
    </dataValidation>
  </dataValidations>
  <pageMargins left="1" right="0.5" top="0.75" bottom="0.75" header="0.3" footer="0.3"/>
  <pageSetup scale="98" orientation="portrait" r:id="rId1"/>
  <headerFooter>
    <oddHeader>&amp;R"CRSI-PILECAP" Program
Version 1.0</oddHeader>
    <oddFooter>&amp;C&amp;P of &amp;N&amp;R&amp;D  &amp;T</oddFooter>
  </headerFooter>
  <rowBreaks count="5" manualBreakCount="5">
    <brk id="43" max="16383" man="1"/>
    <brk id="84" max="16383" man="1"/>
    <brk id="125" max="16383" man="1"/>
    <brk id="166" max="16383" man="1"/>
    <brk id="207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27</vt:i4>
      </vt:variant>
    </vt:vector>
  </HeadingPairs>
  <TitlesOfParts>
    <vt:vector size="54" baseType="lpstr">
      <vt:lpstr>Doc</vt:lpstr>
      <vt:lpstr>2 Pile Cap</vt:lpstr>
      <vt:lpstr>3 Pile Cap</vt:lpstr>
      <vt:lpstr>4 Pile Cap</vt:lpstr>
      <vt:lpstr>5 Pile Cap</vt:lpstr>
      <vt:lpstr>6 Pile Cap</vt:lpstr>
      <vt:lpstr>7 Pile Cap</vt:lpstr>
      <vt:lpstr>8 Pile Cap</vt:lpstr>
      <vt:lpstr>9 Pile Cap</vt:lpstr>
      <vt:lpstr>10 Pile Cap</vt:lpstr>
      <vt:lpstr>11 Pile Cap</vt:lpstr>
      <vt:lpstr>12 Pile Cap</vt:lpstr>
      <vt:lpstr>13 Pile Cap</vt:lpstr>
      <vt:lpstr>14 Pile Cap</vt:lpstr>
      <vt:lpstr>15 Pile Cap</vt:lpstr>
      <vt:lpstr>16 Pile Cap</vt:lpstr>
      <vt:lpstr>17 Pile Cap</vt:lpstr>
      <vt:lpstr>18 Pile Cap</vt:lpstr>
      <vt:lpstr>19 Pile Cap</vt:lpstr>
      <vt:lpstr>20 Pile Cap</vt:lpstr>
      <vt:lpstr>21 Pile Cap</vt:lpstr>
      <vt:lpstr>22 Pile Cap</vt:lpstr>
      <vt:lpstr>23 Pile Cap</vt:lpstr>
      <vt:lpstr>24 Pile Cap</vt:lpstr>
      <vt:lpstr>26 Pile Cap</vt:lpstr>
      <vt:lpstr>28 Pile Cap</vt:lpstr>
      <vt:lpstr>30 Pile Cap</vt:lpstr>
      <vt:lpstr>'10 Pile Cap'!Print_Area</vt:lpstr>
      <vt:lpstr>'11 Pile Cap'!Print_Area</vt:lpstr>
      <vt:lpstr>'12 Pile Cap'!Print_Area</vt:lpstr>
      <vt:lpstr>'13 Pile Cap'!Print_Area</vt:lpstr>
      <vt:lpstr>'14 Pile Cap'!Print_Area</vt:lpstr>
      <vt:lpstr>'15 Pile Cap'!Print_Area</vt:lpstr>
      <vt:lpstr>'16 Pile Cap'!Print_Area</vt:lpstr>
      <vt:lpstr>'17 Pile Cap'!Print_Area</vt:lpstr>
      <vt:lpstr>'18 Pile Cap'!Print_Area</vt:lpstr>
      <vt:lpstr>'19 Pile Cap'!Print_Area</vt:lpstr>
      <vt:lpstr>'2 Pile Cap'!Print_Area</vt:lpstr>
      <vt:lpstr>'20 Pile Cap'!Print_Area</vt:lpstr>
      <vt:lpstr>'21 Pile Cap'!Print_Area</vt:lpstr>
      <vt:lpstr>'22 Pile Cap'!Print_Area</vt:lpstr>
      <vt:lpstr>'23 Pile Cap'!Print_Area</vt:lpstr>
      <vt:lpstr>'24 Pile Cap'!Print_Area</vt:lpstr>
      <vt:lpstr>'26 Pile Cap'!Print_Area</vt:lpstr>
      <vt:lpstr>'28 Pile Cap'!Print_Area</vt:lpstr>
      <vt:lpstr>'3 Pile Cap'!Print_Area</vt:lpstr>
      <vt:lpstr>'30 Pile Cap'!Print_Area</vt:lpstr>
      <vt:lpstr>'4 Pile Cap'!Print_Area</vt:lpstr>
      <vt:lpstr>'5 Pile Cap'!Print_Area</vt:lpstr>
      <vt:lpstr>'6 Pile Cap'!Print_Area</vt:lpstr>
      <vt:lpstr>'7 Pile Cap'!Print_Area</vt:lpstr>
      <vt:lpstr>'8 Pile Cap'!Print_Area</vt:lpstr>
      <vt:lpstr>'9 Pile Cap'!Print_Area</vt:lpstr>
      <vt:lpstr>Doc!Print_Area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</dc:creator>
  <cp:lastModifiedBy>Fluor</cp:lastModifiedBy>
  <cp:lastPrinted>2015-01-28T17:55:45Z</cp:lastPrinted>
  <dcterms:created xsi:type="dcterms:W3CDTF">2013-10-19T17:04:24Z</dcterms:created>
  <dcterms:modified xsi:type="dcterms:W3CDTF">2015-01-28T18:09:26Z</dcterms:modified>
</cp:coreProperties>
</file>