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05" windowWidth="20385" windowHeight="10005" tabRatio="944"/>
  </bookViews>
  <sheets>
    <sheet name="Doc" sheetId="54" r:id="rId1"/>
    <sheet name="2 Pile Cap" sheetId="84" r:id="rId2"/>
    <sheet name="3 Pile Cap" sheetId="81" r:id="rId3"/>
    <sheet name="4 Pile Cap" sheetId="85" r:id="rId4"/>
    <sheet name="5 Pile Cap" sheetId="53" r:id="rId5"/>
    <sheet name="6 Pile Cap" sheetId="55" r:id="rId6"/>
    <sheet name="7 Pile Cap" sheetId="60" r:id="rId7"/>
    <sheet name="8 Pile Cap" sheetId="61" r:id="rId8"/>
    <sheet name="9 Pile Cap" sheetId="58" r:id="rId9"/>
    <sheet name="10 Pile Cap" sheetId="62" r:id="rId10"/>
    <sheet name="11 Pile Cap" sheetId="63" r:id="rId11"/>
    <sheet name="12 Pile Cap" sheetId="64" r:id="rId12"/>
    <sheet name="13 Pile Cap" sheetId="65" r:id="rId13"/>
    <sheet name="14 Pile Cap" sheetId="66" r:id="rId14"/>
    <sheet name="15 Pile Cap" sheetId="67" r:id="rId15"/>
    <sheet name="16 Pile Cap" sheetId="59" r:id="rId16"/>
    <sheet name="17 Pile Cap" sheetId="68" r:id="rId17"/>
    <sheet name="18 Pile Cap" sheetId="70" r:id="rId18"/>
    <sheet name="19 Pile Cap" sheetId="69" r:id="rId19"/>
    <sheet name="20 Pile Cap" sheetId="71" r:id="rId20"/>
    <sheet name="21 Pile Cap" sheetId="80" r:id="rId21"/>
    <sheet name="22 Pile Cap" sheetId="77" r:id="rId22"/>
    <sheet name="23 Pile Cap" sheetId="78" r:id="rId23"/>
    <sheet name="24 Pile Cap" sheetId="72" r:id="rId24"/>
    <sheet name="26 Pile Cap" sheetId="79" r:id="rId25"/>
    <sheet name="28 Pile Cap" sheetId="75" r:id="rId26"/>
    <sheet name="30 Pile Cap" sheetId="74" r:id="rId27"/>
  </sheets>
  <definedNames>
    <definedName name="_xlnm.Print_Area" localSheetId="9">'10 Pile Cap'!$A$1:$AL$208</definedName>
    <definedName name="_xlnm.Print_Area" localSheetId="10">'11 Pile Cap'!$A$1:$AL$208</definedName>
    <definedName name="_xlnm.Print_Area" localSheetId="11">'12 Pile Cap'!$A$1:$AJ$208</definedName>
    <definedName name="_xlnm.Print_Area" localSheetId="12">'13 Pile Cap'!$A$1:$AA$208</definedName>
    <definedName name="_xlnm.Print_Area" localSheetId="13">'14 Pile Cap'!$A$1:$I$208</definedName>
    <definedName name="_xlnm.Print_Area" localSheetId="14">'15 Pile Cap'!$A$1:$AL$208</definedName>
    <definedName name="_xlnm.Print_Area" localSheetId="15">'16 Pile Cap'!$A$1:$I$208</definedName>
    <definedName name="_xlnm.Print_Area" localSheetId="16">'17 Pile Cap'!$A$1:$AC$208</definedName>
    <definedName name="_xlnm.Print_Area" localSheetId="17">'18 Pile Cap'!$A$1:$AK$208</definedName>
    <definedName name="_xlnm.Print_Area" localSheetId="18">'19 Pile Cap'!$A$1:$AL$208</definedName>
    <definedName name="_xlnm.Print_Area" localSheetId="1">'2 Pile Cap'!$A$1:$J$172</definedName>
    <definedName name="_xlnm.Print_Area" localSheetId="19">'20 Pile Cap'!$A$1:$AL$208</definedName>
    <definedName name="_xlnm.Print_Area" localSheetId="20">'21 Pile Cap'!$A$1:$AJ$208</definedName>
    <definedName name="_xlnm.Print_Area" localSheetId="21">'22 Pile Cap'!$A$1:$AL$208</definedName>
    <definedName name="_xlnm.Print_Area" localSheetId="22">'23 Pile Cap'!$A$1:$AL$208</definedName>
    <definedName name="_xlnm.Print_Area" localSheetId="23">'24 Pile Cap'!$A$1:$AL$208</definedName>
    <definedName name="_xlnm.Print_Area" localSheetId="24">'26 Pile Cap'!$A$1:$AL$208</definedName>
    <definedName name="_xlnm.Print_Area" localSheetId="25">'28 Pile Cap'!$A$1:$AL$208</definedName>
    <definedName name="_xlnm.Print_Area" localSheetId="2">'3 Pile Cap'!$A$1:$AL$208</definedName>
    <definedName name="_xlnm.Print_Area" localSheetId="26">'30 Pile Cap'!$A$1:$I$208</definedName>
    <definedName name="_xlnm.Print_Area" localSheetId="3">'4 Pile Cap'!$A$1:$AL$208</definedName>
    <definedName name="_xlnm.Print_Area" localSheetId="4">'5 Pile Cap'!$A$1:$AL$208</definedName>
    <definedName name="_xlnm.Print_Area" localSheetId="5">'6 Pile Cap'!$A$1:$AL$208</definedName>
    <definedName name="_xlnm.Print_Area" localSheetId="6">'7 Pile Cap'!$A$1:$AL$208</definedName>
    <definedName name="_xlnm.Print_Area" localSheetId="7">'8 Pile Cap'!$A$1:$AL$208</definedName>
    <definedName name="_xlnm.Print_Area" localSheetId="8">'9 Pile Cap'!$A$1:$I$208</definedName>
    <definedName name="_xlnm.Print_Area" localSheetId="0">Doc!$A$1:$K$165</definedName>
  </definedNames>
  <calcPr calcId="145621"/>
</workbook>
</file>

<file path=xl/calcChain.xml><?xml version="1.0" encoding="utf-8"?>
<calcChain xmlns="http://schemas.openxmlformats.org/spreadsheetml/2006/main">
  <c r="G173" i="74" l="1"/>
  <c r="G174" i="74"/>
  <c r="G177" i="74"/>
  <c r="G178" i="74"/>
  <c r="D177" i="74"/>
  <c r="D173" i="74"/>
  <c r="D173" i="75"/>
  <c r="C14" i="75"/>
  <c r="C15" i="75"/>
  <c r="C26" i="75" s="1"/>
  <c r="C19" i="75"/>
  <c r="C22" i="75"/>
  <c r="C23" i="75"/>
  <c r="C28" i="75" l="1"/>
  <c r="C27" i="75"/>
  <c r="D177" i="75"/>
  <c r="D173" i="79"/>
  <c r="C41" i="79"/>
  <c r="C42" i="79"/>
  <c r="C43" i="79" s="1"/>
  <c r="B179" i="79" l="1"/>
  <c r="B175" i="79"/>
  <c r="B170" i="79"/>
  <c r="B173" i="79"/>
  <c r="B177" i="79"/>
  <c r="D177" i="79"/>
  <c r="D173" i="72"/>
  <c r="G173" i="72" l="1"/>
  <c r="G174" i="72"/>
  <c r="G177" i="72"/>
  <c r="G178" i="72"/>
  <c r="D177" i="72"/>
  <c r="D173" i="78"/>
  <c r="B99" i="72"/>
  <c r="B102" i="72" s="1"/>
  <c r="B103" i="72" s="1"/>
  <c r="B104" i="72" s="1"/>
  <c r="B101" i="72"/>
  <c r="D177" i="78" l="1"/>
  <c r="D173" i="77"/>
  <c r="D177" i="77" l="1"/>
  <c r="D173" i="80"/>
  <c r="C69" i="77"/>
  <c r="C70" i="77"/>
  <c r="C71" i="77"/>
  <c r="C72" i="77" s="1"/>
  <c r="C73" i="77" s="1"/>
  <c r="C75" i="77"/>
  <c r="C78" i="77"/>
  <c r="C82" i="77"/>
  <c r="C74" i="77" l="1"/>
  <c r="C77" i="77"/>
  <c r="C79" i="77" s="1"/>
  <c r="C83" i="77" s="1"/>
  <c r="C76" i="77"/>
  <c r="D177" i="80"/>
  <c r="D173" i="71"/>
  <c r="D177" i="71" l="1"/>
  <c r="D173" i="69"/>
  <c r="B110" i="71"/>
  <c r="B113" i="71" s="1"/>
  <c r="B114" i="71" s="1"/>
  <c r="B115" i="71" s="1"/>
  <c r="B112" i="71"/>
  <c r="D177" i="69" l="1"/>
  <c r="D173" i="70"/>
  <c r="B128" i="70"/>
  <c r="B129" i="70" s="1"/>
  <c r="B131" i="70"/>
  <c r="B132" i="70"/>
  <c r="B133" i="70"/>
  <c r="B134" i="70" s="1"/>
  <c r="B136" i="70"/>
  <c r="B137" i="70"/>
  <c r="B138" i="70" s="1"/>
  <c r="B139" i="70" s="1"/>
  <c r="B140" i="70" s="1"/>
  <c r="B135" i="70" l="1"/>
  <c r="D177" i="70"/>
  <c r="D173" i="68"/>
  <c r="B144" i="70"/>
  <c r="B145" i="70"/>
  <c r="B146" i="70" s="1"/>
  <c r="B147" i="70"/>
  <c r="B148" i="70" l="1"/>
  <c r="B149" i="70" s="1"/>
  <c r="B150" i="70" s="1"/>
  <c r="B151" i="70" s="1"/>
  <c r="B152" i="70" s="1"/>
  <c r="B153" i="70" s="1"/>
  <c r="D177" i="68"/>
  <c r="D173" i="59"/>
  <c r="B160" i="68"/>
  <c r="B158" i="68"/>
  <c r="B161" i="68" s="1"/>
  <c r="B162" i="68" s="1"/>
  <c r="B163" i="68" s="1"/>
  <c r="B157" i="68"/>
  <c r="B159" i="68" l="1"/>
  <c r="B164" i="68" s="1"/>
  <c r="B165" i="68" s="1"/>
  <c r="B166" i="68" s="1"/>
  <c r="D177" i="59"/>
  <c r="D173" i="67"/>
  <c r="D177" i="67" l="1"/>
  <c r="D173" i="66"/>
  <c r="D177" i="66" l="1"/>
  <c r="D173" i="65"/>
  <c r="C14" i="65"/>
  <c r="C15" i="65"/>
  <c r="C28" i="65" s="1"/>
  <c r="C19" i="65"/>
  <c r="C22" i="65" s="1"/>
  <c r="C20" i="65"/>
  <c r="C26" i="65"/>
  <c r="C27" i="65"/>
  <c r="C23" i="65" l="1"/>
  <c r="B178" i="58"/>
  <c r="D177" i="65"/>
  <c r="D173" i="64"/>
  <c r="B128" i="64"/>
  <c r="B135" i="64" s="1"/>
  <c r="B129" i="64"/>
  <c r="B131" i="64"/>
  <c r="B132" i="64"/>
  <c r="B133" i="64"/>
  <c r="B134" i="64"/>
  <c r="B136" i="64"/>
  <c r="B137" i="64"/>
  <c r="B138" i="64"/>
  <c r="B139" i="64" s="1"/>
  <c r="B140" i="64" s="1"/>
  <c r="D177" i="64" l="1"/>
  <c r="D173" i="63"/>
  <c r="D177" i="63" l="1"/>
  <c r="D173" i="62"/>
  <c r="D177" i="62" l="1"/>
  <c r="D173" i="58"/>
  <c r="D177" i="58" l="1"/>
  <c r="D173" i="61"/>
  <c r="D177" i="61" l="1"/>
  <c r="D173" i="60"/>
  <c r="C69" i="61"/>
  <c r="C70" i="61"/>
  <c r="C72" i="61" s="1"/>
  <c r="C73" i="61" s="1"/>
  <c r="C71" i="61"/>
  <c r="C75" i="61"/>
  <c r="C76" i="61"/>
  <c r="C77" i="61"/>
  <c r="C78" i="61"/>
  <c r="C80" i="61"/>
  <c r="C82" i="61"/>
  <c r="C14" i="61"/>
  <c r="C15" i="61"/>
  <c r="C19" i="61"/>
  <c r="C23" i="61" s="1"/>
  <c r="C20" i="61"/>
  <c r="C22" i="61"/>
  <c r="C28" i="61"/>
  <c r="C74" i="61" l="1"/>
  <c r="C79" i="61" s="1"/>
  <c r="C83" i="61" s="1"/>
  <c r="D177" i="60"/>
  <c r="D173" i="55"/>
  <c r="D177" i="55" l="1"/>
  <c r="D173" i="53"/>
  <c r="D177" i="53" l="1"/>
  <c r="D173" i="85"/>
  <c r="D177" i="85" l="1"/>
  <c r="D173" i="81"/>
  <c r="R206" i="85"/>
  <c r="R195" i="85"/>
  <c r="R184" i="85"/>
  <c r="T181" i="85"/>
  <c r="B177" i="85"/>
  <c r="B178" i="85" s="1"/>
  <c r="R172" i="85"/>
  <c r="B173" i="85"/>
  <c r="B174" i="85" s="1"/>
  <c r="B134" i="85"/>
  <c r="B133" i="85"/>
  <c r="O112" i="85"/>
  <c r="O110" i="85"/>
  <c r="B112" i="85"/>
  <c r="O99" i="85"/>
  <c r="B101" i="85"/>
  <c r="O101" i="85" s="1"/>
  <c r="O88" i="85"/>
  <c r="B90" i="85"/>
  <c r="O91" i="85" s="1"/>
  <c r="O87" i="85"/>
  <c r="K36" i="85"/>
  <c r="M29" i="85"/>
  <c r="A29" i="85"/>
  <c r="L27" i="85"/>
  <c r="P21" i="85"/>
  <c r="L21" i="85"/>
  <c r="C64" i="85" s="1"/>
  <c r="M20" i="85"/>
  <c r="G178" i="85" s="1"/>
  <c r="M19" i="85"/>
  <c r="G174" i="85" s="1"/>
  <c r="C20" i="85"/>
  <c r="N18" i="85"/>
  <c r="M18" i="85"/>
  <c r="C19" i="85"/>
  <c r="N17" i="85"/>
  <c r="M17" i="85"/>
  <c r="N16" i="85"/>
  <c r="M16" i="85"/>
  <c r="N15" i="85"/>
  <c r="M15" i="85"/>
  <c r="N14" i="85"/>
  <c r="M14" i="85"/>
  <c r="L14" i="85"/>
  <c r="C15" i="85"/>
  <c r="B87" i="85" s="1"/>
  <c r="B128" i="85" s="1"/>
  <c r="N13" i="85"/>
  <c r="M13" i="85"/>
  <c r="L13" i="85"/>
  <c r="C14" i="85"/>
  <c r="N12" i="85"/>
  <c r="M12" i="85"/>
  <c r="L12" i="85"/>
  <c r="L11" i="85"/>
  <c r="L10" i="85"/>
  <c r="N10" i="85" s="1"/>
  <c r="N9" i="85"/>
  <c r="M9" i="85"/>
  <c r="L9" i="85"/>
  <c r="C71" i="85" l="1"/>
  <c r="C23" i="85"/>
  <c r="C62" i="85"/>
  <c r="E64" i="85" s="1"/>
  <c r="C22" i="85"/>
  <c r="C80" i="85"/>
  <c r="C26" i="85"/>
  <c r="B129" i="85"/>
  <c r="M11" i="85"/>
  <c r="N11" i="85"/>
  <c r="B157" i="85"/>
  <c r="E31" i="85"/>
  <c r="P22" i="85"/>
  <c r="C27" i="85"/>
  <c r="C82" i="85"/>
  <c r="C48" i="85"/>
  <c r="M10" i="85"/>
  <c r="L22" i="85"/>
  <c r="C28" i="85"/>
  <c r="B88" i="85"/>
  <c r="B99" i="85"/>
  <c r="B110" i="85" s="1"/>
  <c r="B144" i="85"/>
  <c r="B102" i="85" l="1"/>
  <c r="B103" i="85" s="1"/>
  <c r="B104" i="85" s="1"/>
  <c r="C78" i="85"/>
  <c r="C76" i="85"/>
  <c r="B170" i="85"/>
  <c r="G173" i="85"/>
  <c r="B175" i="85" s="1"/>
  <c r="C75" i="85"/>
  <c r="C41" i="85"/>
  <c r="C42" i="85" s="1"/>
  <c r="C43" i="85" s="1"/>
  <c r="C52" i="85"/>
  <c r="B113" i="85"/>
  <c r="B114" i="85" s="1"/>
  <c r="B115" i="85" s="1"/>
  <c r="C58" i="85"/>
  <c r="C59" i="85" s="1"/>
  <c r="C53" i="85"/>
  <c r="G177" i="85"/>
  <c r="B179" i="85" s="1"/>
  <c r="C55" i="85"/>
  <c r="T191" i="85"/>
  <c r="T192" i="85" s="1"/>
  <c r="T168" i="85"/>
  <c r="T202" i="85"/>
  <c r="T203" i="85" s="1"/>
  <c r="T204" i="85" s="1"/>
  <c r="T179" i="85"/>
  <c r="M32" i="85"/>
  <c r="E82" i="85"/>
  <c r="E32" i="85"/>
  <c r="C181" i="85" l="1"/>
  <c r="F181" i="85" s="1"/>
  <c r="M109" i="85"/>
  <c r="E111" i="85" s="1"/>
  <c r="B116" i="85" s="1"/>
  <c r="B117" i="85" s="1"/>
  <c r="C35" i="85" s="1"/>
  <c r="C46" i="85"/>
  <c r="C47" i="85" s="1"/>
  <c r="C49" i="85" s="1"/>
  <c r="C50" i="85" s="1"/>
  <c r="B158" i="85"/>
  <c r="B145" i="85"/>
  <c r="B131" i="85"/>
  <c r="B136" i="85"/>
  <c r="B91" i="85"/>
  <c r="B92" i="85" s="1"/>
  <c r="B93" i="85" s="1"/>
  <c r="M98" i="85"/>
  <c r="E100" i="85" s="1"/>
  <c r="B105" i="85" s="1"/>
  <c r="B106" i="85" s="1"/>
  <c r="C34" i="85" s="1"/>
  <c r="B147" i="85"/>
  <c r="B135" i="85"/>
  <c r="M86" i="85"/>
  <c r="E89" i="85" s="1"/>
  <c r="B94" i="85" s="1"/>
  <c r="B95" i="85" s="1"/>
  <c r="C33" i="85" s="1"/>
  <c r="C69" i="85"/>
  <c r="C70" i="85" s="1"/>
  <c r="C72" i="85" s="1"/>
  <c r="C73" i="85" s="1"/>
  <c r="T205" i="85"/>
  <c r="R207" i="85" s="1"/>
  <c r="R208" i="85" s="1"/>
  <c r="R209" i="85"/>
  <c r="B132" i="85"/>
  <c r="C77" i="85"/>
  <c r="M33" i="85"/>
  <c r="M34" i="85"/>
  <c r="R187" i="85"/>
  <c r="T180" i="85"/>
  <c r="B160" i="85"/>
  <c r="T169" i="85"/>
  <c r="T182" i="85"/>
  <c r="T183" i="85" s="1"/>
  <c r="R185" i="85" s="1"/>
  <c r="R186" i="85" s="1"/>
  <c r="T170" i="85"/>
  <c r="C54" i="85"/>
  <c r="C74" i="85" l="1"/>
  <c r="C79" i="85"/>
  <c r="C83" i="85" s="1"/>
  <c r="B146" i="85"/>
  <c r="B148" i="85"/>
  <c r="R188" i="85"/>
  <c r="H35" i="85" s="1"/>
  <c r="AE184" i="85"/>
  <c r="B159" i="85"/>
  <c r="B161" i="85"/>
  <c r="B162" i="85" s="1"/>
  <c r="B163" i="85" s="1"/>
  <c r="M35" i="85"/>
  <c r="K37" i="85" s="1"/>
  <c r="K38" i="85" s="1"/>
  <c r="K39" i="85"/>
  <c r="R210" i="85"/>
  <c r="H37" i="85" s="1"/>
  <c r="AE206" i="85"/>
  <c r="C56" i="85"/>
  <c r="C60" i="85"/>
  <c r="C51" i="85"/>
  <c r="T171" i="85"/>
  <c r="R173" i="85" s="1"/>
  <c r="R174" i="85" s="1"/>
  <c r="V199" i="85"/>
  <c r="R198" i="85" s="1"/>
  <c r="T193" i="85"/>
  <c r="T194" i="85" s="1"/>
  <c r="R196" i="85" s="1"/>
  <c r="R197" i="85" s="1"/>
  <c r="R175" i="85"/>
  <c r="B149" i="85"/>
  <c r="B150" i="85" s="1"/>
  <c r="D131" i="85"/>
  <c r="F131" i="85" s="1"/>
  <c r="B137" i="85"/>
  <c r="O135" i="85" l="1"/>
  <c r="B138" i="85"/>
  <c r="B139" i="85" s="1"/>
  <c r="B140" i="85" s="1"/>
  <c r="C36" i="85" s="1"/>
  <c r="B164" i="85"/>
  <c r="D159" i="85"/>
  <c r="C61" i="85"/>
  <c r="C65" i="85" s="1"/>
  <c r="X36" i="85"/>
  <c r="K40" i="85"/>
  <c r="AE172" i="85"/>
  <c r="R176" i="85"/>
  <c r="H34" i="85" s="1"/>
  <c r="B151" i="85"/>
  <c r="D146" i="85"/>
  <c r="R199" i="85"/>
  <c r="H36" i="85" s="1"/>
  <c r="AE195" i="85"/>
  <c r="O161" i="85" l="1"/>
  <c r="B165" i="85"/>
  <c r="B166" i="85" s="1"/>
  <c r="C38" i="85" s="1"/>
  <c r="O148" i="85"/>
  <c r="B152" i="85"/>
  <c r="B153" i="85" s="1"/>
  <c r="C37" i="85" s="1"/>
  <c r="D132" i="84" l="1"/>
  <c r="D136" i="84" l="1"/>
  <c r="B136" i="84"/>
  <c r="B137" i="84" s="1"/>
  <c r="B133" i="84"/>
  <c r="B132" i="84"/>
  <c r="B101" i="84"/>
  <c r="O101" i="84" s="1"/>
  <c r="O99" i="84"/>
  <c r="B90" i="84"/>
  <c r="O91" i="84" s="1"/>
  <c r="O88" i="84"/>
  <c r="C46" i="84"/>
  <c r="C47" i="84" s="1"/>
  <c r="K36" i="84"/>
  <c r="M29" i="84"/>
  <c r="A29" i="84"/>
  <c r="L27" i="84"/>
  <c r="C22" i="84"/>
  <c r="G136" i="84" s="1"/>
  <c r="P21" i="84"/>
  <c r="C82" i="84" s="1"/>
  <c r="L21" i="84"/>
  <c r="C64" i="84" s="1"/>
  <c r="C20" i="84"/>
  <c r="C19" i="84"/>
  <c r="C62" i="84" s="1"/>
  <c r="N18" i="84"/>
  <c r="M18" i="84"/>
  <c r="N17" i="84"/>
  <c r="M20" i="84" s="1"/>
  <c r="G137" i="84" s="1"/>
  <c r="M17" i="84"/>
  <c r="N16" i="84"/>
  <c r="M16" i="84"/>
  <c r="N15" i="84"/>
  <c r="M15" i="84"/>
  <c r="C15" i="84"/>
  <c r="C26" i="84" s="1"/>
  <c r="N14" i="84"/>
  <c r="M14" i="84"/>
  <c r="L14" i="84"/>
  <c r="C14" i="84"/>
  <c r="N13" i="84"/>
  <c r="M13" i="84"/>
  <c r="L13" i="84"/>
  <c r="M12" i="84"/>
  <c r="L12" i="84"/>
  <c r="N12" i="84" s="1"/>
  <c r="L11" i="84"/>
  <c r="N11" i="84" s="1"/>
  <c r="N10" i="84"/>
  <c r="M19" i="84" s="1"/>
  <c r="G133" i="84" s="1"/>
  <c r="L10" i="84"/>
  <c r="M10" i="84" s="1"/>
  <c r="N9" i="84"/>
  <c r="M9" i="84"/>
  <c r="L9" i="84"/>
  <c r="E31" i="84" l="1"/>
  <c r="E64" i="84"/>
  <c r="M11" i="84"/>
  <c r="L22" i="84"/>
  <c r="C27" i="84"/>
  <c r="C55" i="84"/>
  <c r="C71" i="84"/>
  <c r="B110" i="84"/>
  <c r="P22" i="84"/>
  <c r="C48" i="84"/>
  <c r="C49" i="84" s="1"/>
  <c r="C50" i="84" s="1"/>
  <c r="C80" i="84"/>
  <c r="E82" i="84" s="1"/>
  <c r="B138" i="84"/>
  <c r="C23" i="84"/>
  <c r="C41" i="84" s="1"/>
  <c r="C42" i="84" s="1"/>
  <c r="C43" i="84" s="1"/>
  <c r="C28" i="84"/>
  <c r="M32" i="84" s="1"/>
  <c r="M33" i="84" s="1"/>
  <c r="B87" i="84"/>
  <c r="B111" i="84" l="1"/>
  <c r="C69" i="84"/>
  <c r="C70" i="84" s="1"/>
  <c r="C72" i="84" s="1"/>
  <c r="C73" i="84" s="1"/>
  <c r="C58" i="84"/>
  <c r="C59" i="84" s="1"/>
  <c r="C52" i="84"/>
  <c r="M34" i="84"/>
  <c r="C60" i="84"/>
  <c r="C51" i="84"/>
  <c r="E32" i="84"/>
  <c r="C78" i="84"/>
  <c r="B129" i="84"/>
  <c r="C76" i="84"/>
  <c r="G132" i="84"/>
  <c r="B134" i="84" s="1"/>
  <c r="C140" i="84" s="1"/>
  <c r="F140" i="84" s="1"/>
  <c r="C75" i="84"/>
  <c r="C77" i="84" s="1"/>
  <c r="C53" i="84"/>
  <c r="B91" i="84"/>
  <c r="B92" i="84" s="1"/>
  <c r="B93" i="84" s="1"/>
  <c r="B88" i="84"/>
  <c r="B99" i="84"/>
  <c r="B102" i="84" s="1"/>
  <c r="B103" i="84" s="1"/>
  <c r="B104" i="84" s="1"/>
  <c r="M86" i="84"/>
  <c r="E89" i="84" s="1"/>
  <c r="B94" i="84" s="1"/>
  <c r="B95" i="84" s="1"/>
  <c r="C33" i="84" s="1"/>
  <c r="B113" i="84"/>
  <c r="C74" i="84" l="1"/>
  <c r="C79" i="84"/>
  <c r="C83" i="84" s="1"/>
  <c r="M35" i="84"/>
  <c r="K37" i="84" s="1"/>
  <c r="K38" i="84" s="1"/>
  <c r="K39" i="84"/>
  <c r="M98" i="84"/>
  <c r="E100" i="84" s="1"/>
  <c r="B105" i="84" s="1"/>
  <c r="B106" i="84" s="1"/>
  <c r="C34" i="84" s="1"/>
  <c r="C54" i="84"/>
  <c r="C56" i="84" s="1"/>
  <c r="C61" i="84" s="1"/>
  <c r="C65" i="84" s="1"/>
  <c r="B112" i="84"/>
  <c r="B114" i="84"/>
  <c r="B115" i="84" s="1"/>
  <c r="C15" i="74"/>
  <c r="C14" i="74"/>
  <c r="C15" i="79"/>
  <c r="C14" i="79"/>
  <c r="C15" i="72"/>
  <c r="C14" i="72"/>
  <c r="C15" i="78"/>
  <c r="C14" i="78"/>
  <c r="C15" i="77"/>
  <c r="C14" i="77"/>
  <c r="C15" i="80"/>
  <c r="C14" i="80"/>
  <c r="C15" i="71"/>
  <c r="C14" i="71"/>
  <c r="C15" i="69"/>
  <c r="C14" i="69"/>
  <c r="C15" i="70"/>
  <c r="C14" i="70"/>
  <c r="C15" i="68"/>
  <c r="C14" i="68"/>
  <c r="C15" i="59"/>
  <c r="C14" i="59"/>
  <c r="C15" i="67"/>
  <c r="C14" i="67"/>
  <c r="C15" i="66"/>
  <c r="C14" i="66"/>
  <c r="C15" i="64"/>
  <c r="C14" i="64"/>
  <c r="C15" i="63"/>
  <c r="C14" i="63"/>
  <c r="C15" i="62"/>
  <c r="C14" i="62"/>
  <c r="C15" i="58"/>
  <c r="C14" i="58"/>
  <c r="C15" i="60"/>
  <c r="C14" i="60"/>
  <c r="C15" i="55"/>
  <c r="C14" i="55"/>
  <c r="C15" i="53"/>
  <c r="C14" i="53"/>
  <c r="C15" i="81"/>
  <c r="C14" i="81"/>
  <c r="B160" i="81" l="1"/>
  <c r="B121" i="84"/>
  <c r="B122" i="84" s="1"/>
  <c r="B123" i="84" s="1"/>
  <c r="B124" i="84" s="1"/>
  <c r="B125" i="84" s="1"/>
  <c r="C37" i="84" s="1"/>
  <c r="B116" i="84"/>
  <c r="K40" i="84"/>
  <c r="X36" i="84"/>
  <c r="D112" i="84"/>
  <c r="B117" i="84"/>
  <c r="N15" i="81"/>
  <c r="N16" i="81"/>
  <c r="N17" i="81"/>
  <c r="N18" i="81"/>
  <c r="B118" i="84" l="1"/>
  <c r="B119" i="84" s="1"/>
  <c r="O113" i="84"/>
  <c r="M20" i="81"/>
  <c r="N18" i="74"/>
  <c r="M18" i="74"/>
  <c r="N18" i="75"/>
  <c r="M18" i="75"/>
  <c r="N18" i="79"/>
  <c r="M18" i="79"/>
  <c r="N18" i="72"/>
  <c r="M18" i="72"/>
  <c r="N18" i="78"/>
  <c r="M18" i="78"/>
  <c r="N18" i="77"/>
  <c r="M18" i="77"/>
  <c r="N18" i="80"/>
  <c r="M18" i="80"/>
  <c r="N18" i="71"/>
  <c r="M18" i="71"/>
  <c r="N18" i="69"/>
  <c r="M18" i="69"/>
  <c r="N18" i="70"/>
  <c r="M18" i="70"/>
  <c r="N18" i="68"/>
  <c r="M18" i="68"/>
  <c r="N18" i="59"/>
  <c r="M18" i="59"/>
  <c r="N18" i="67"/>
  <c r="M18" i="67"/>
  <c r="N18" i="66"/>
  <c r="M18" i="66"/>
  <c r="N18" i="65"/>
  <c r="M18" i="65"/>
  <c r="N18" i="64"/>
  <c r="M18" i="64"/>
  <c r="N18" i="63"/>
  <c r="M18" i="63"/>
  <c r="N18" i="62"/>
  <c r="M20" i="62" s="1"/>
  <c r="M18" i="62"/>
  <c r="N18" i="58"/>
  <c r="M20" i="58" s="1"/>
  <c r="M18" i="58"/>
  <c r="N18" i="61"/>
  <c r="M18" i="61"/>
  <c r="N18" i="60"/>
  <c r="M20" i="60" s="1"/>
  <c r="M18" i="60"/>
  <c r="N18" i="55"/>
  <c r="M18" i="55"/>
  <c r="N18" i="53"/>
  <c r="M18" i="53"/>
  <c r="M18" i="81"/>
  <c r="P21" i="74"/>
  <c r="P21" i="75"/>
  <c r="P21" i="79"/>
  <c r="P21" i="72"/>
  <c r="P21" i="78"/>
  <c r="P21" i="77"/>
  <c r="P21" i="80"/>
  <c r="P21" i="71"/>
  <c r="P21" i="69"/>
  <c r="P21" i="70"/>
  <c r="P21" i="68"/>
  <c r="P21" i="59"/>
  <c r="P21" i="67"/>
  <c r="P21" i="66"/>
  <c r="P21" i="65"/>
  <c r="P21" i="64"/>
  <c r="P21" i="63"/>
  <c r="P21" i="62"/>
  <c r="P21" i="58"/>
  <c r="P21" i="61"/>
  <c r="P21" i="60"/>
  <c r="P21" i="55"/>
  <c r="P21" i="53"/>
  <c r="P21" i="81"/>
  <c r="L21" i="74"/>
  <c r="L21" i="75"/>
  <c r="L21" i="79"/>
  <c r="L21" i="72"/>
  <c r="L21" i="78"/>
  <c r="L21" i="77"/>
  <c r="L21" i="80"/>
  <c r="L21" i="71"/>
  <c r="L21" i="69"/>
  <c r="L21" i="70"/>
  <c r="L21" i="68"/>
  <c r="L21" i="59"/>
  <c r="L21" i="67"/>
  <c r="L21" i="66"/>
  <c r="L21" i="65"/>
  <c r="L21" i="64"/>
  <c r="L21" i="63"/>
  <c r="L21" i="62"/>
  <c r="L21" i="58"/>
  <c r="L21" i="61"/>
  <c r="L21" i="60"/>
  <c r="L21" i="55"/>
  <c r="L21" i="53"/>
  <c r="L21" i="81"/>
  <c r="M19" i="62"/>
  <c r="M19" i="58"/>
  <c r="M19" i="81"/>
  <c r="L9" i="81"/>
  <c r="N9" i="81" s="1"/>
  <c r="M9" i="81"/>
  <c r="L10" i="81"/>
  <c r="N10" i="81" s="1"/>
  <c r="M10" i="81"/>
  <c r="L11" i="81"/>
  <c r="L12" i="81"/>
  <c r="L13" i="81"/>
  <c r="N13" i="81" s="1"/>
  <c r="L14" i="81"/>
  <c r="N14" i="81" s="1"/>
  <c r="M14" i="81"/>
  <c r="M15" i="81"/>
  <c r="M16" i="81"/>
  <c r="C48" i="58" l="1"/>
  <c r="C26" i="61"/>
  <c r="C27" i="61"/>
  <c r="M19" i="60"/>
  <c r="M13" i="81"/>
  <c r="M12" i="81"/>
  <c r="N12" i="81"/>
  <c r="M11" i="81"/>
  <c r="N11" i="81"/>
  <c r="C82" i="58" l="1"/>
  <c r="C82" i="55"/>
  <c r="A29" i="74" l="1"/>
  <c r="A29" i="75"/>
  <c r="A29" i="79"/>
  <c r="A29" i="72"/>
  <c r="A29" i="78"/>
  <c r="A29" i="77"/>
  <c r="A29" i="80"/>
  <c r="A29" i="71"/>
  <c r="A29" i="69"/>
  <c r="A29" i="70"/>
  <c r="A29" i="68"/>
  <c r="A29" i="59"/>
  <c r="A29" i="67"/>
  <c r="A29" i="66"/>
  <c r="A29" i="65"/>
  <c r="A29" i="64"/>
  <c r="A29" i="63"/>
  <c r="A29" i="62"/>
  <c r="A29" i="58"/>
  <c r="A29" i="61"/>
  <c r="A29" i="60"/>
  <c r="A29" i="55"/>
  <c r="A29" i="53"/>
  <c r="A29" i="81"/>
  <c r="C19" i="68" l="1"/>
  <c r="C19" i="59"/>
  <c r="C19" i="67"/>
  <c r="C19" i="66"/>
  <c r="C19" i="64"/>
  <c r="C19" i="63"/>
  <c r="C19" i="70"/>
  <c r="C19" i="69"/>
  <c r="C19" i="71"/>
  <c r="C19" i="80"/>
  <c r="C19" i="77"/>
  <c r="C19" i="78"/>
  <c r="C19" i="72"/>
  <c r="C19" i="79"/>
  <c r="C19" i="74"/>
  <c r="C19" i="81" l="1"/>
  <c r="C19" i="62" l="1"/>
  <c r="C19" i="58"/>
  <c r="C80" i="58" s="1"/>
  <c r="C19" i="60" l="1"/>
  <c r="C80" i="60" s="1"/>
  <c r="C19" i="55"/>
  <c r="C80" i="55" s="1"/>
  <c r="C19" i="53"/>
  <c r="C80" i="53" s="1"/>
  <c r="B173" i="81" l="1"/>
  <c r="B174" i="81" s="1"/>
  <c r="R206" i="81"/>
  <c r="R195" i="81"/>
  <c r="R184" i="81"/>
  <c r="R172" i="81"/>
  <c r="B133" i="81"/>
  <c r="B134" i="81" s="1"/>
  <c r="B112" i="81"/>
  <c r="O112" i="81" s="1"/>
  <c r="B90" i="81"/>
  <c r="O91" i="81" s="1"/>
  <c r="K36" i="81"/>
  <c r="M29" i="81"/>
  <c r="L27" i="81"/>
  <c r="B110" i="81"/>
  <c r="P22" i="81"/>
  <c r="C20" i="81"/>
  <c r="M17" i="81"/>
  <c r="F21" i="81"/>
  <c r="R25" i="81" s="1"/>
  <c r="R206" i="80"/>
  <c r="R195" i="80"/>
  <c r="R184" i="80"/>
  <c r="B177" i="80"/>
  <c r="R172" i="80"/>
  <c r="B173" i="80"/>
  <c r="V132" i="80"/>
  <c r="V133" i="80" s="1"/>
  <c r="B133" i="80"/>
  <c r="B134" i="80" s="1"/>
  <c r="B112" i="80"/>
  <c r="B101" i="80"/>
  <c r="O103" i="80" s="1"/>
  <c r="B90" i="80"/>
  <c r="O95" i="80" s="1"/>
  <c r="M77" i="80"/>
  <c r="M64" i="80"/>
  <c r="K36" i="80"/>
  <c r="F32" i="80"/>
  <c r="M29" i="80"/>
  <c r="L27" i="80"/>
  <c r="M72" i="80"/>
  <c r="M59" i="80"/>
  <c r="C20" i="80"/>
  <c r="N17" i="80"/>
  <c r="M17" i="80"/>
  <c r="N16" i="80"/>
  <c r="M16" i="80"/>
  <c r="N15" i="80"/>
  <c r="M15" i="80"/>
  <c r="L14" i="80"/>
  <c r="N14" i="80" s="1"/>
  <c r="L13" i="80"/>
  <c r="N13" i="80" s="1"/>
  <c r="B87" i="80"/>
  <c r="L12" i="80"/>
  <c r="N12" i="80" s="1"/>
  <c r="L11" i="80"/>
  <c r="N11" i="80" s="1"/>
  <c r="L10" i="80"/>
  <c r="N10" i="80" s="1"/>
  <c r="L9" i="80"/>
  <c r="N9" i="80" s="1"/>
  <c r="R206" i="79"/>
  <c r="R195" i="79"/>
  <c r="R184" i="79"/>
  <c r="R172" i="79"/>
  <c r="V132" i="79"/>
  <c r="V133" i="79" s="1"/>
  <c r="B133" i="79"/>
  <c r="B134" i="79" s="1"/>
  <c r="B112" i="79"/>
  <c r="O114" i="79" s="1"/>
  <c r="B101" i="79"/>
  <c r="O103" i="79" s="1"/>
  <c r="B90" i="79"/>
  <c r="O95" i="79" s="1"/>
  <c r="M77" i="79"/>
  <c r="M64" i="79"/>
  <c r="K36" i="79"/>
  <c r="F32" i="79"/>
  <c r="M29" i="79"/>
  <c r="L27" i="79"/>
  <c r="B87" i="79"/>
  <c r="M72" i="79"/>
  <c r="M59" i="79"/>
  <c r="C20" i="79"/>
  <c r="N17" i="79"/>
  <c r="M17" i="79"/>
  <c r="N16" i="79"/>
  <c r="M16" i="79"/>
  <c r="N15" i="79"/>
  <c r="M15" i="79"/>
  <c r="L14" i="79"/>
  <c r="N14" i="79" s="1"/>
  <c r="L13" i="79"/>
  <c r="N13" i="79" s="1"/>
  <c r="L12" i="79"/>
  <c r="N12" i="79" s="1"/>
  <c r="L11" i="79"/>
  <c r="N11" i="79" s="1"/>
  <c r="L10" i="79"/>
  <c r="N10" i="79" s="1"/>
  <c r="L9" i="79"/>
  <c r="N9" i="79" s="1"/>
  <c r="R206" i="78"/>
  <c r="R195" i="78"/>
  <c r="R184" i="78"/>
  <c r="B177" i="78"/>
  <c r="R172" i="78"/>
  <c r="B173" i="78"/>
  <c r="V132" i="78"/>
  <c r="V133" i="78" s="1"/>
  <c r="B133" i="78"/>
  <c r="B134" i="78" s="1"/>
  <c r="B112" i="78"/>
  <c r="O114" i="78" s="1"/>
  <c r="B101" i="78"/>
  <c r="O103" i="78" s="1"/>
  <c r="B90" i="78"/>
  <c r="O95" i="78" s="1"/>
  <c r="M77" i="78"/>
  <c r="M64" i="78"/>
  <c r="K36" i="78"/>
  <c r="F32" i="78"/>
  <c r="M29" i="78"/>
  <c r="L27" i="78"/>
  <c r="M72" i="78"/>
  <c r="M59" i="78"/>
  <c r="C20" i="78"/>
  <c r="N17" i="78"/>
  <c r="M17" i="78"/>
  <c r="N16" i="78"/>
  <c r="M16" i="78"/>
  <c r="T181" i="78"/>
  <c r="N15" i="78"/>
  <c r="M15" i="78"/>
  <c r="L14" i="78"/>
  <c r="M14" i="78" s="1"/>
  <c r="M13" i="78"/>
  <c r="L13" i="78"/>
  <c r="N13" i="78" s="1"/>
  <c r="B87" i="78"/>
  <c r="L12" i="78"/>
  <c r="N12" i="78" s="1"/>
  <c r="L11" i="78"/>
  <c r="N11" i="78" s="1"/>
  <c r="L10" i="78"/>
  <c r="M10" i="78" s="1"/>
  <c r="L9" i="78"/>
  <c r="N9" i="78" s="1"/>
  <c r="R206" i="77"/>
  <c r="R195" i="77"/>
  <c r="R184" i="77"/>
  <c r="B177" i="77"/>
  <c r="R172" i="77"/>
  <c r="B173" i="77"/>
  <c r="B133" i="77"/>
  <c r="B112" i="77"/>
  <c r="O114" i="77" s="1"/>
  <c r="B101" i="77"/>
  <c r="O103" i="77" s="1"/>
  <c r="B90" i="77"/>
  <c r="O95" i="77" s="1"/>
  <c r="M77" i="77"/>
  <c r="M64" i="77"/>
  <c r="K36" i="77"/>
  <c r="F32" i="77"/>
  <c r="M29" i="77"/>
  <c r="L27" i="77"/>
  <c r="B87" i="77"/>
  <c r="M72" i="77"/>
  <c r="M59" i="77"/>
  <c r="C20" i="77"/>
  <c r="N17" i="77"/>
  <c r="M17" i="77"/>
  <c r="N16" i="77"/>
  <c r="M16" i="77"/>
  <c r="N15" i="77"/>
  <c r="M15" i="77"/>
  <c r="M14" i="77"/>
  <c r="L14" i="77"/>
  <c r="N14" i="77" s="1"/>
  <c r="L13" i="77"/>
  <c r="N13" i="77" s="1"/>
  <c r="L12" i="77"/>
  <c r="N12" i="77" s="1"/>
  <c r="L11" i="77"/>
  <c r="N11" i="77" s="1"/>
  <c r="L10" i="77"/>
  <c r="N10" i="77" s="1"/>
  <c r="L9" i="77"/>
  <c r="N9" i="77" s="1"/>
  <c r="R206" i="75"/>
  <c r="R195" i="75"/>
  <c r="R184" i="75"/>
  <c r="B177" i="75"/>
  <c r="R172" i="75"/>
  <c r="B173" i="75"/>
  <c r="B133" i="75"/>
  <c r="B112" i="75"/>
  <c r="O115" i="75" s="1"/>
  <c r="B101" i="75"/>
  <c r="O104" i="75" s="1"/>
  <c r="B90" i="75"/>
  <c r="O95" i="75" s="1"/>
  <c r="M77" i="75"/>
  <c r="M64" i="75"/>
  <c r="K36" i="75"/>
  <c r="F32" i="75"/>
  <c r="M29" i="75"/>
  <c r="L27" i="75"/>
  <c r="B87" i="75"/>
  <c r="M72" i="75"/>
  <c r="M59" i="75"/>
  <c r="N17" i="75"/>
  <c r="M17" i="75"/>
  <c r="N16" i="75"/>
  <c r="M16" i="75"/>
  <c r="N15" i="75"/>
  <c r="M15" i="75"/>
  <c r="L14" i="75"/>
  <c r="N14" i="75" s="1"/>
  <c r="L13" i="75"/>
  <c r="M13" i="75" s="1"/>
  <c r="L12" i="75"/>
  <c r="M12" i="75" s="1"/>
  <c r="L11" i="75"/>
  <c r="M11" i="75" s="1"/>
  <c r="L10" i="75"/>
  <c r="N10" i="75" s="1"/>
  <c r="L9" i="75"/>
  <c r="M9" i="75" s="1"/>
  <c r="M10" i="79" l="1"/>
  <c r="M20" i="75"/>
  <c r="G178" i="75" s="1"/>
  <c r="T181" i="80"/>
  <c r="C22" i="80"/>
  <c r="M14" i="75"/>
  <c r="M10" i="75"/>
  <c r="B134" i="77"/>
  <c r="V128" i="77"/>
  <c r="V129" i="77" s="1"/>
  <c r="M19" i="78"/>
  <c r="G174" i="78" s="1"/>
  <c r="M20" i="78"/>
  <c r="G178" i="78" s="1"/>
  <c r="M19" i="79"/>
  <c r="G174" i="79" s="1"/>
  <c r="M20" i="79"/>
  <c r="G178" i="79" s="1"/>
  <c r="M19" i="80"/>
  <c r="G174" i="80" s="1"/>
  <c r="M20" i="80"/>
  <c r="G178" i="80" s="1"/>
  <c r="B134" i="75"/>
  <c r="V128" i="75"/>
  <c r="V129" i="75" s="1"/>
  <c r="M19" i="77"/>
  <c r="G174" i="77" s="1"/>
  <c r="M20" i="77"/>
  <c r="G178" i="77" s="1"/>
  <c r="M14" i="79"/>
  <c r="M14" i="80"/>
  <c r="M19" i="75"/>
  <c r="G174" i="75" s="1"/>
  <c r="T181" i="75"/>
  <c r="T181" i="79"/>
  <c r="T181" i="77"/>
  <c r="O99" i="80"/>
  <c r="Q156" i="81"/>
  <c r="Q114" i="81"/>
  <c r="T181" i="81"/>
  <c r="R132" i="78"/>
  <c r="R133" i="78" s="1"/>
  <c r="M11" i="78"/>
  <c r="X132" i="78"/>
  <c r="X133" i="78" s="1"/>
  <c r="M12" i="78"/>
  <c r="P22" i="79"/>
  <c r="X132" i="79"/>
  <c r="X133" i="79" s="1"/>
  <c r="M10" i="80"/>
  <c r="O92" i="80"/>
  <c r="R132" i="75"/>
  <c r="R133" i="75" s="1"/>
  <c r="M9" i="78"/>
  <c r="R132" i="79"/>
  <c r="R133" i="79" s="1"/>
  <c r="B157" i="81"/>
  <c r="S156" i="81" s="1"/>
  <c r="O110" i="81"/>
  <c r="O87" i="81"/>
  <c r="B128" i="81"/>
  <c r="S159" i="81"/>
  <c r="C23" i="81"/>
  <c r="F20" i="81"/>
  <c r="C26" i="81"/>
  <c r="C28" i="81"/>
  <c r="C48" i="81"/>
  <c r="C59" i="81"/>
  <c r="E32" i="81"/>
  <c r="B87" i="81"/>
  <c r="C22" i="81"/>
  <c r="L22" i="81"/>
  <c r="C27" i="81"/>
  <c r="C57" i="81"/>
  <c r="P22" i="80"/>
  <c r="O93" i="80"/>
  <c r="O100" i="80"/>
  <c r="O110" i="80"/>
  <c r="O101" i="80"/>
  <c r="C23" i="80"/>
  <c r="Q27" i="80"/>
  <c r="S27" i="80" s="1"/>
  <c r="F21" i="80" s="1"/>
  <c r="B99" i="80"/>
  <c r="B110" i="80" s="1"/>
  <c r="B128" i="80"/>
  <c r="B88" i="80"/>
  <c r="M9" i="80"/>
  <c r="M11" i="80"/>
  <c r="M12" i="80"/>
  <c r="M13" i="80"/>
  <c r="L22" i="80"/>
  <c r="C27" i="80"/>
  <c r="C28" i="80"/>
  <c r="O111" i="80"/>
  <c r="O112" i="80"/>
  <c r="O113" i="80"/>
  <c r="O114" i="80"/>
  <c r="R132" i="80"/>
  <c r="R133" i="80" s="1"/>
  <c r="X132" i="80"/>
  <c r="X133" i="80" s="1"/>
  <c r="B144" i="80"/>
  <c r="B157" i="80"/>
  <c r="C26" i="80"/>
  <c r="C48" i="80"/>
  <c r="C71" i="80"/>
  <c r="O87" i="80"/>
  <c r="O88" i="80"/>
  <c r="O89" i="80"/>
  <c r="O90" i="80"/>
  <c r="O91" i="80"/>
  <c r="Q27" i="79"/>
  <c r="S27" i="79" s="1"/>
  <c r="F21" i="79" s="1"/>
  <c r="O87" i="79"/>
  <c r="O89" i="79"/>
  <c r="O92" i="79"/>
  <c r="O99" i="79"/>
  <c r="O101" i="79"/>
  <c r="O111" i="79"/>
  <c r="O113" i="79"/>
  <c r="O88" i="79"/>
  <c r="O90" i="79"/>
  <c r="O93" i="79"/>
  <c r="O100" i="79"/>
  <c r="O110" i="79"/>
  <c r="O112" i="79"/>
  <c r="C23" i="79"/>
  <c r="C22" i="79"/>
  <c r="B128" i="79"/>
  <c r="B99" i="79"/>
  <c r="B110" i="79" s="1"/>
  <c r="B88" i="79"/>
  <c r="M9" i="79"/>
  <c r="M11" i="79"/>
  <c r="M12" i="79"/>
  <c r="M13" i="79"/>
  <c r="L22" i="79"/>
  <c r="C27" i="79"/>
  <c r="C28" i="79"/>
  <c r="B144" i="79"/>
  <c r="B157" i="79"/>
  <c r="C26" i="79"/>
  <c r="C48" i="79"/>
  <c r="C71" i="79"/>
  <c r="O91" i="79"/>
  <c r="C23" i="78"/>
  <c r="O87" i="78"/>
  <c r="O110" i="78"/>
  <c r="O88" i="78"/>
  <c r="O111" i="78"/>
  <c r="Q27" i="78"/>
  <c r="S27" i="78" s="1"/>
  <c r="F21" i="78" s="1"/>
  <c r="L22" i="78"/>
  <c r="B128" i="78"/>
  <c r="B99" i="78"/>
  <c r="B110" i="78" s="1"/>
  <c r="B88" i="78"/>
  <c r="N10" i="78"/>
  <c r="N14" i="78"/>
  <c r="C22" i="78"/>
  <c r="C27" i="78"/>
  <c r="C28" i="78"/>
  <c r="O99" i="78"/>
  <c r="O100" i="78"/>
  <c r="O101" i="78"/>
  <c r="O102" i="78"/>
  <c r="B144" i="78"/>
  <c r="B157" i="78"/>
  <c r="P22" i="78"/>
  <c r="C26" i="78"/>
  <c r="C48" i="78"/>
  <c r="C71" i="78"/>
  <c r="O89" i="78"/>
  <c r="O90" i="78"/>
  <c r="O91" i="78"/>
  <c r="O92" i="78"/>
  <c r="C23" i="77"/>
  <c r="O88" i="77"/>
  <c r="O90" i="77"/>
  <c r="O91" i="77"/>
  <c r="O100" i="77"/>
  <c r="O102" i="77"/>
  <c r="O111" i="77"/>
  <c r="O87" i="77"/>
  <c r="O89" i="77"/>
  <c r="O92" i="77"/>
  <c r="O99" i="77"/>
  <c r="O101" i="77"/>
  <c r="O110" i="77"/>
  <c r="P22" i="77"/>
  <c r="Q27" i="77"/>
  <c r="S27" i="77" s="1"/>
  <c r="F21" i="77" s="1"/>
  <c r="C22" i="77"/>
  <c r="M10" i="77"/>
  <c r="B99" i="77"/>
  <c r="B110" i="77" s="1"/>
  <c r="B128" i="77"/>
  <c r="B88" i="77"/>
  <c r="M9" i="77"/>
  <c r="M11" i="77"/>
  <c r="M12" i="77"/>
  <c r="M13" i="77"/>
  <c r="L22" i="77"/>
  <c r="C27" i="77"/>
  <c r="C28" i="77"/>
  <c r="R132" i="77"/>
  <c r="R133" i="77" s="1"/>
  <c r="B144" i="77"/>
  <c r="B157" i="77"/>
  <c r="C26" i="77"/>
  <c r="C48" i="77"/>
  <c r="O87" i="75"/>
  <c r="O89" i="75"/>
  <c r="O92" i="75"/>
  <c r="O100" i="75"/>
  <c r="O110" i="75"/>
  <c r="O112" i="75"/>
  <c r="O88" i="75"/>
  <c r="O90" i="75"/>
  <c r="O93" i="75"/>
  <c r="O101" i="75"/>
  <c r="O111" i="75"/>
  <c r="O113" i="75"/>
  <c r="L22" i="75"/>
  <c r="B99" i="75"/>
  <c r="B110" i="75" s="1"/>
  <c r="B128" i="75"/>
  <c r="B88" i="75"/>
  <c r="B144" i="75"/>
  <c r="B157" i="75"/>
  <c r="N9" i="75"/>
  <c r="N11" i="75"/>
  <c r="N12" i="75"/>
  <c r="N13" i="75"/>
  <c r="P22" i="75"/>
  <c r="C48" i="75"/>
  <c r="C71" i="75"/>
  <c r="O91" i="75"/>
  <c r="O99" i="75"/>
  <c r="R206" i="74"/>
  <c r="R195" i="74"/>
  <c r="R184" i="74"/>
  <c r="B177" i="74"/>
  <c r="R172" i="74"/>
  <c r="B173" i="74"/>
  <c r="B133" i="74"/>
  <c r="V128" i="74" s="1"/>
  <c r="V129" i="74" s="1"/>
  <c r="B112" i="74"/>
  <c r="O115" i="74" s="1"/>
  <c r="B101" i="74"/>
  <c r="O104" i="74" s="1"/>
  <c r="B90" i="74"/>
  <c r="O93" i="74" s="1"/>
  <c r="M77" i="74"/>
  <c r="M64" i="74"/>
  <c r="K36" i="74"/>
  <c r="F32" i="74"/>
  <c r="M29" i="74"/>
  <c r="L27" i="74"/>
  <c r="M72" i="74"/>
  <c r="M59" i="74"/>
  <c r="N17" i="74"/>
  <c r="M17" i="74"/>
  <c r="N16" i="74"/>
  <c r="M16" i="74"/>
  <c r="N15" i="74"/>
  <c r="M15" i="74"/>
  <c r="L14" i="74"/>
  <c r="N14" i="74" s="1"/>
  <c r="L13" i="74"/>
  <c r="N13" i="74" s="1"/>
  <c r="L12" i="74"/>
  <c r="N12" i="74" s="1"/>
  <c r="L11" i="74"/>
  <c r="N11" i="74" s="1"/>
  <c r="L10" i="74"/>
  <c r="N10" i="74" s="1"/>
  <c r="L9" i="74"/>
  <c r="M9" i="74" s="1"/>
  <c r="R206" i="72"/>
  <c r="R195" i="72"/>
  <c r="R184" i="72"/>
  <c r="B177" i="72"/>
  <c r="R172" i="72"/>
  <c r="B173" i="72"/>
  <c r="B133" i="72"/>
  <c r="B112" i="72"/>
  <c r="O112" i="72" s="1"/>
  <c r="O104" i="72"/>
  <c r="B90" i="72"/>
  <c r="M77" i="72"/>
  <c r="M64" i="72"/>
  <c r="K36" i="72"/>
  <c r="F32" i="72"/>
  <c r="M29" i="72"/>
  <c r="L27" i="72"/>
  <c r="C27" i="72"/>
  <c r="M72" i="72"/>
  <c r="M59" i="72"/>
  <c r="N17" i="72"/>
  <c r="M17" i="72"/>
  <c r="N16" i="72"/>
  <c r="M16" i="72"/>
  <c r="N15" i="72"/>
  <c r="M15" i="72"/>
  <c r="L14" i="72"/>
  <c r="M14" i="72" s="1"/>
  <c r="L13" i="72"/>
  <c r="N13" i="72" s="1"/>
  <c r="L12" i="72"/>
  <c r="M12" i="72" s="1"/>
  <c r="L11" i="72"/>
  <c r="M11" i="72" s="1"/>
  <c r="M10" i="72"/>
  <c r="L10" i="72"/>
  <c r="N10" i="72" s="1"/>
  <c r="L9" i="72"/>
  <c r="N9" i="72" s="1"/>
  <c r="F32" i="71"/>
  <c r="M64" i="71"/>
  <c r="R206" i="71"/>
  <c r="R195" i="71"/>
  <c r="R184" i="71"/>
  <c r="B177" i="71"/>
  <c r="R172" i="71"/>
  <c r="B173" i="71"/>
  <c r="B133" i="71"/>
  <c r="O112" i="71"/>
  <c r="B101" i="71"/>
  <c r="O101" i="71" s="1"/>
  <c r="B90" i="71"/>
  <c r="M77" i="71"/>
  <c r="K36" i="71"/>
  <c r="M29" i="71"/>
  <c r="L27" i="71"/>
  <c r="C71" i="71"/>
  <c r="M72" i="71"/>
  <c r="M59" i="71"/>
  <c r="N17" i="71"/>
  <c r="M20" i="71" s="1"/>
  <c r="M17" i="71"/>
  <c r="N16" i="71"/>
  <c r="M16" i="71"/>
  <c r="O110" i="71"/>
  <c r="N15" i="71"/>
  <c r="M19" i="71" s="1"/>
  <c r="M15" i="71"/>
  <c r="L14" i="71"/>
  <c r="M14" i="71" s="1"/>
  <c r="L13" i="71"/>
  <c r="M13" i="71" s="1"/>
  <c r="L12" i="71"/>
  <c r="M12" i="71" s="1"/>
  <c r="L11" i="71"/>
  <c r="N11" i="71" s="1"/>
  <c r="L10" i="71"/>
  <c r="N10" i="71" s="1"/>
  <c r="L9" i="71"/>
  <c r="M9" i="71" s="1"/>
  <c r="R206" i="70"/>
  <c r="R195" i="70"/>
  <c r="R184" i="70"/>
  <c r="B177" i="70"/>
  <c r="R172" i="70"/>
  <c r="B173" i="70"/>
  <c r="B112" i="70"/>
  <c r="O114" i="70" s="1"/>
  <c r="B101" i="70"/>
  <c r="O103" i="70" s="1"/>
  <c r="B90" i="70"/>
  <c r="O92" i="70" s="1"/>
  <c r="M77" i="70"/>
  <c r="M64" i="70"/>
  <c r="K36" i="70"/>
  <c r="F32" i="70"/>
  <c r="M29" i="70"/>
  <c r="L27" i="70"/>
  <c r="M72" i="70"/>
  <c r="M59" i="70"/>
  <c r="C20" i="70"/>
  <c r="N17" i="70"/>
  <c r="M17" i="70"/>
  <c r="N16" i="70"/>
  <c r="M16" i="70"/>
  <c r="N15" i="70"/>
  <c r="M19" i="70" s="1"/>
  <c r="M15" i="70"/>
  <c r="L14" i="70"/>
  <c r="N14" i="70" s="1"/>
  <c r="L13" i="70"/>
  <c r="M13" i="70" s="1"/>
  <c r="L12" i="70"/>
  <c r="M12" i="70" s="1"/>
  <c r="L11" i="70"/>
  <c r="M11" i="70" s="1"/>
  <c r="L10" i="70"/>
  <c r="N10" i="70" s="1"/>
  <c r="L9" i="70"/>
  <c r="M9" i="70" s="1"/>
  <c r="C41" i="75" l="1"/>
  <c r="Q26" i="80"/>
  <c r="S26" i="80" s="1"/>
  <c r="G173" i="81"/>
  <c r="M20" i="74"/>
  <c r="M19" i="74"/>
  <c r="R132" i="71"/>
  <c r="R133" i="71" s="1"/>
  <c r="V128" i="71"/>
  <c r="V129" i="71" s="1"/>
  <c r="B134" i="72"/>
  <c r="V128" i="72"/>
  <c r="V129" i="72" s="1"/>
  <c r="M11" i="71"/>
  <c r="M19" i="72"/>
  <c r="M20" i="72"/>
  <c r="M20" i="70"/>
  <c r="G178" i="70" s="1"/>
  <c r="R132" i="70"/>
  <c r="R133" i="70" s="1"/>
  <c r="V128" i="70"/>
  <c r="V129" i="70" s="1"/>
  <c r="N14" i="72"/>
  <c r="O111" i="72"/>
  <c r="C23" i="71"/>
  <c r="O87" i="71"/>
  <c r="O100" i="70"/>
  <c r="N12" i="71"/>
  <c r="N13" i="71"/>
  <c r="O88" i="71"/>
  <c r="O99" i="71"/>
  <c r="O100" i="71"/>
  <c r="C22" i="72"/>
  <c r="R132" i="72"/>
  <c r="R133" i="72" s="1"/>
  <c r="M12" i="74"/>
  <c r="M14" i="74"/>
  <c r="M10" i="70"/>
  <c r="G174" i="70"/>
  <c r="N14" i="71"/>
  <c r="G174" i="71"/>
  <c r="P22" i="71"/>
  <c r="O90" i="71"/>
  <c r="O111" i="71"/>
  <c r="N11" i="72"/>
  <c r="N12" i="72"/>
  <c r="M13" i="74"/>
  <c r="M14" i="70"/>
  <c r="B134" i="71"/>
  <c r="M13" i="72"/>
  <c r="L22" i="71"/>
  <c r="O89" i="71"/>
  <c r="M115" i="81"/>
  <c r="Q157" i="81"/>
  <c r="Q115" i="81"/>
  <c r="M157" i="81"/>
  <c r="U21" i="81"/>
  <c r="U20" i="81"/>
  <c r="C52" i="81"/>
  <c r="C53" i="81"/>
  <c r="C55" i="81"/>
  <c r="T202" i="81"/>
  <c r="T203" i="81" s="1"/>
  <c r="T204" i="81" s="1"/>
  <c r="R209" i="81" s="1"/>
  <c r="T179" i="81"/>
  <c r="R187" i="81" s="1"/>
  <c r="T191" i="81"/>
  <c r="T192" i="81" s="1"/>
  <c r="T168" i="81"/>
  <c r="M32" i="81"/>
  <c r="G174" i="81"/>
  <c r="B175" i="81" s="1"/>
  <c r="B88" i="81"/>
  <c r="E59" i="81"/>
  <c r="E31" i="81"/>
  <c r="U27" i="80"/>
  <c r="U26" i="80" s="1"/>
  <c r="F20" i="80" s="1"/>
  <c r="G177" i="80"/>
  <c r="B179" i="80" s="1"/>
  <c r="C52" i="80"/>
  <c r="M115" i="80"/>
  <c r="M58" i="80"/>
  <c r="M60" i="80" s="1"/>
  <c r="C58" i="80"/>
  <c r="C59" i="80" s="1"/>
  <c r="C55" i="80"/>
  <c r="C53" i="80"/>
  <c r="B129" i="80"/>
  <c r="G173" i="80"/>
  <c r="B175" i="80" s="1"/>
  <c r="C78" i="80"/>
  <c r="C76" i="80"/>
  <c r="M71" i="80"/>
  <c r="M73" i="80" s="1"/>
  <c r="M104" i="80"/>
  <c r="C75" i="80"/>
  <c r="T202" i="80"/>
  <c r="T203" i="80" s="1"/>
  <c r="T204" i="80" s="1"/>
  <c r="R209" i="80" s="1"/>
  <c r="T179" i="80"/>
  <c r="R187" i="80" s="1"/>
  <c r="M32" i="80"/>
  <c r="T191" i="80"/>
  <c r="T192" i="80" s="1"/>
  <c r="T168" i="80"/>
  <c r="G173" i="79"/>
  <c r="C78" i="79"/>
  <c r="C76" i="79"/>
  <c r="M71" i="79"/>
  <c r="M73" i="79" s="1"/>
  <c r="M104" i="79"/>
  <c r="C75" i="79"/>
  <c r="U27" i="79"/>
  <c r="T202" i="79"/>
  <c r="T203" i="79" s="1"/>
  <c r="T204" i="79" s="1"/>
  <c r="R209" i="79" s="1"/>
  <c r="T179" i="79"/>
  <c r="R187" i="79" s="1"/>
  <c r="M32" i="79"/>
  <c r="T191" i="79"/>
  <c r="T192" i="79" s="1"/>
  <c r="T168" i="79"/>
  <c r="G177" i="79"/>
  <c r="C52" i="79"/>
  <c r="Q26" i="79"/>
  <c r="S26" i="79" s="1"/>
  <c r="M115" i="79"/>
  <c r="M58" i="79"/>
  <c r="M60" i="79" s="1"/>
  <c r="C58" i="79"/>
  <c r="C59" i="79" s="1"/>
  <c r="C55" i="79"/>
  <c r="C53" i="79"/>
  <c r="B129" i="79"/>
  <c r="G173" i="78"/>
  <c r="B175" i="78" s="1"/>
  <c r="C78" i="78"/>
  <c r="C76" i="78"/>
  <c r="M71" i="78"/>
  <c r="M73" i="78" s="1"/>
  <c r="M104" i="78"/>
  <c r="C75" i="78"/>
  <c r="U27" i="78"/>
  <c r="U26" i="78" s="1"/>
  <c r="C41" i="78" s="1"/>
  <c r="T202" i="78"/>
  <c r="T203" i="78" s="1"/>
  <c r="T204" i="78" s="1"/>
  <c r="R209" i="78" s="1"/>
  <c r="T179" i="78"/>
  <c r="R187" i="78" s="1"/>
  <c r="M32" i="78"/>
  <c r="T191" i="78"/>
  <c r="T192" i="78" s="1"/>
  <c r="T168" i="78"/>
  <c r="G177" i="78"/>
  <c r="B179" i="78" s="1"/>
  <c r="C52" i="78"/>
  <c r="Q26" i="78"/>
  <c r="S26" i="78" s="1"/>
  <c r="M115" i="78"/>
  <c r="M58" i="78"/>
  <c r="M60" i="78" s="1"/>
  <c r="C58" i="78"/>
  <c r="C59" i="78" s="1"/>
  <c r="C55" i="78"/>
  <c r="C53" i="78"/>
  <c r="B129" i="78"/>
  <c r="N9" i="74"/>
  <c r="T202" i="77"/>
  <c r="T203" i="77" s="1"/>
  <c r="T204" i="77" s="1"/>
  <c r="R209" i="77" s="1"/>
  <c r="T179" i="77"/>
  <c r="R187" i="77" s="1"/>
  <c r="M32" i="77"/>
  <c r="T191" i="77"/>
  <c r="T192" i="77" s="1"/>
  <c r="T168" i="77"/>
  <c r="B129" i="77"/>
  <c r="G173" i="77"/>
  <c r="B175" i="77" s="1"/>
  <c r="M104" i="77"/>
  <c r="M71" i="77"/>
  <c r="M73" i="77" s="1"/>
  <c r="C80" i="77" s="1"/>
  <c r="U27" i="77"/>
  <c r="G177" i="77"/>
  <c r="B179" i="77" s="1"/>
  <c r="C52" i="77"/>
  <c r="Q26" i="77"/>
  <c r="S26" i="77" s="1"/>
  <c r="M115" i="77"/>
  <c r="M58" i="77"/>
  <c r="M60" i="77" s="1"/>
  <c r="C58" i="77"/>
  <c r="C59" i="77" s="1"/>
  <c r="C55" i="77"/>
  <c r="C53" i="77"/>
  <c r="O111" i="74"/>
  <c r="B134" i="74"/>
  <c r="M11" i="74"/>
  <c r="P22" i="74"/>
  <c r="C71" i="74"/>
  <c r="O87" i="74"/>
  <c r="O89" i="74"/>
  <c r="O91" i="74"/>
  <c r="O100" i="74"/>
  <c r="O110" i="74"/>
  <c r="C23" i="74"/>
  <c r="C78" i="74" s="1"/>
  <c r="O88" i="74"/>
  <c r="O90" i="74"/>
  <c r="O99" i="74"/>
  <c r="O101" i="74"/>
  <c r="T202" i="75"/>
  <c r="T203" i="75" s="1"/>
  <c r="T204" i="75" s="1"/>
  <c r="R209" i="75" s="1"/>
  <c r="T179" i="75"/>
  <c r="R187" i="75" s="1"/>
  <c r="M32" i="75"/>
  <c r="T191" i="75"/>
  <c r="T192" i="75" s="1"/>
  <c r="T168" i="75"/>
  <c r="G177" i="75"/>
  <c r="B179" i="75" s="1"/>
  <c r="B113" i="75"/>
  <c r="B114" i="75" s="1"/>
  <c r="B115" i="75" s="1"/>
  <c r="C52" i="75"/>
  <c r="M58" i="75"/>
  <c r="M60" i="75" s="1"/>
  <c r="C58" i="75"/>
  <c r="C59" i="75" s="1"/>
  <c r="C55" i="75"/>
  <c r="C53" i="75"/>
  <c r="B129" i="75"/>
  <c r="C42" i="75"/>
  <c r="C43" i="75" s="1"/>
  <c r="B160" i="75" s="1"/>
  <c r="G173" i="75"/>
  <c r="B175" i="75" s="1"/>
  <c r="B170" i="75"/>
  <c r="C78" i="75"/>
  <c r="C76" i="75"/>
  <c r="M71" i="75"/>
  <c r="M73" i="75" s="1"/>
  <c r="B102" i="75"/>
  <c r="B103" i="75" s="1"/>
  <c r="B104" i="75" s="1"/>
  <c r="C75" i="75"/>
  <c r="C22" i="74"/>
  <c r="C27" i="74"/>
  <c r="C28" i="74"/>
  <c r="T191" i="74" s="1"/>
  <c r="T192" i="74" s="1"/>
  <c r="B87" i="74"/>
  <c r="M10" i="74"/>
  <c r="R132" i="74"/>
  <c r="R133" i="74" s="1"/>
  <c r="B144" i="74"/>
  <c r="B157" i="74"/>
  <c r="C26" i="74"/>
  <c r="C48" i="74"/>
  <c r="T181" i="74"/>
  <c r="L22" i="74"/>
  <c r="O87" i="72"/>
  <c r="O91" i="72"/>
  <c r="O101" i="72"/>
  <c r="O88" i="72"/>
  <c r="O92" i="72"/>
  <c r="O102" i="72"/>
  <c r="O89" i="72"/>
  <c r="O99" i="72"/>
  <c r="O110" i="72"/>
  <c r="O90" i="72"/>
  <c r="O100" i="72"/>
  <c r="C23" i="72"/>
  <c r="P22" i="72"/>
  <c r="C28" i="72"/>
  <c r="B87" i="72"/>
  <c r="Q94" i="72"/>
  <c r="B144" i="72"/>
  <c r="B157" i="72"/>
  <c r="M9" i="72"/>
  <c r="C26" i="72"/>
  <c r="C48" i="72"/>
  <c r="C71" i="72"/>
  <c r="T181" i="72"/>
  <c r="L22" i="72"/>
  <c r="C22" i="71"/>
  <c r="C28" i="71"/>
  <c r="T191" i="71" s="1"/>
  <c r="T192" i="71" s="1"/>
  <c r="C27" i="71"/>
  <c r="M10" i="71"/>
  <c r="N9" i="71"/>
  <c r="G178" i="71"/>
  <c r="C26" i="71"/>
  <c r="C48" i="71"/>
  <c r="O91" i="71"/>
  <c r="B144" i="71"/>
  <c r="B157" i="71"/>
  <c r="B87" i="71"/>
  <c r="T181" i="71"/>
  <c r="C22" i="70"/>
  <c r="O91" i="70"/>
  <c r="P22" i="70"/>
  <c r="B157" i="70"/>
  <c r="C71" i="70"/>
  <c r="C28" i="70"/>
  <c r="T191" i="70" s="1"/>
  <c r="T192" i="70" s="1"/>
  <c r="B87" i="70"/>
  <c r="N9" i="70"/>
  <c r="N11" i="70"/>
  <c r="N12" i="70"/>
  <c r="N13" i="70"/>
  <c r="C23" i="70"/>
  <c r="C26" i="70"/>
  <c r="C48" i="70"/>
  <c r="O87" i="70"/>
  <c r="O88" i="70"/>
  <c r="O89" i="70"/>
  <c r="O90" i="70"/>
  <c r="O99" i="70"/>
  <c r="O110" i="70"/>
  <c r="O111" i="70"/>
  <c r="O112" i="70"/>
  <c r="T181" i="70"/>
  <c r="L22" i="70"/>
  <c r="C27" i="70"/>
  <c r="R206" i="69"/>
  <c r="R195" i="69"/>
  <c r="R184" i="69"/>
  <c r="B177" i="69"/>
  <c r="R172" i="69"/>
  <c r="B173" i="69"/>
  <c r="B133" i="69"/>
  <c r="B112" i="69"/>
  <c r="O114" i="69" s="1"/>
  <c r="B101" i="69"/>
  <c r="O103" i="69" s="1"/>
  <c r="B90" i="69"/>
  <c r="M77" i="69"/>
  <c r="M64" i="69"/>
  <c r="K36" i="69"/>
  <c r="F32" i="69"/>
  <c r="M29" i="69"/>
  <c r="L27" i="69"/>
  <c r="C28" i="69"/>
  <c r="M72" i="69"/>
  <c r="L22" i="69"/>
  <c r="C20" i="69"/>
  <c r="N17" i="69"/>
  <c r="M20" i="69" s="1"/>
  <c r="M17" i="69"/>
  <c r="N16" i="69"/>
  <c r="M19" i="69" s="1"/>
  <c r="M16" i="69"/>
  <c r="T181" i="69"/>
  <c r="N15" i="69"/>
  <c r="M15" i="69"/>
  <c r="L14" i="69"/>
  <c r="N14" i="69" s="1"/>
  <c r="L13" i="69"/>
  <c r="N13" i="69" s="1"/>
  <c r="L12" i="69"/>
  <c r="N12" i="69" s="1"/>
  <c r="L11" i="69"/>
  <c r="N11" i="69" s="1"/>
  <c r="L10" i="69"/>
  <c r="M10" i="69" s="1"/>
  <c r="L9" i="69"/>
  <c r="N9" i="69" s="1"/>
  <c r="C41" i="74" l="1"/>
  <c r="C42" i="74" s="1"/>
  <c r="C43" i="74" s="1"/>
  <c r="M159" i="75"/>
  <c r="B132" i="75"/>
  <c r="R131" i="75"/>
  <c r="V127" i="75"/>
  <c r="C69" i="75"/>
  <c r="C70" i="75" s="1"/>
  <c r="C46" i="75"/>
  <c r="M146" i="75"/>
  <c r="B147" i="75"/>
  <c r="C41" i="72"/>
  <c r="C42" i="72" s="1"/>
  <c r="C43" i="72" s="1"/>
  <c r="C41" i="80"/>
  <c r="C55" i="71"/>
  <c r="C41" i="71"/>
  <c r="C42" i="71" s="1"/>
  <c r="C43" i="71" s="1"/>
  <c r="C41" i="70"/>
  <c r="B134" i="69"/>
  <c r="V128" i="69"/>
  <c r="V129" i="69" s="1"/>
  <c r="G174" i="69"/>
  <c r="C55" i="72"/>
  <c r="C52" i="72"/>
  <c r="M58" i="72"/>
  <c r="M60" i="72" s="1"/>
  <c r="C62" i="72" s="1"/>
  <c r="C181" i="78"/>
  <c r="F181" i="78" s="1"/>
  <c r="B88" i="70"/>
  <c r="T168" i="71"/>
  <c r="T169" i="71" s="1"/>
  <c r="Q158" i="81"/>
  <c r="C52" i="71"/>
  <c r="F20" i="78"/>
  <c r="G177" i="71"/>
  <c r="B179" i="71" s="1"/>
  <c r="B170" i="80"/>
  <c r="C77" i="79"/>
  <c r="B136" i="75"/>
  <c r="V131" i="75" s="1"/>
  <c r="B131" i="75"/>
  <c r="M157" i="75"/>
  <c r="M160" i="75" s="1"/>
  <c r="M144" i="75"/>
  <c r="M147" i="75" s="1"/>
  <c r="B145" i="75"/>
  <c r="B148" i="75" s="1"/>
  <c r="B158" i="75"/>
  <c r="B161" i="75" s="1"/>
  <c r="N10" i="69"/>
  <c r="C76" i="74"/>
  <c r="C58" i="71"/>
  <c r="C59" i="71" s="1"/>
  <c r="M58" i="71"/>
  <c r="M60" i="71" s="1"/>
  <c r="C62" i="71" s="1"/>
  <c r="C42" i="80"/>
  <c r="C43" i="80" s="1"/>
  <c r="Q116" i="81"/>
  <c r="C54" i="81"/>
  <c r="U22" i="81"/>
  <c r="M33" i="81"/>
  <c r="M34" i="81"/>
  <c r="K39" i="81" s="1"/>
  <c r="T205" i="81"/>
  <c r="R207" i="81" s="1"/>
  <c r="R208" i="81" s="1"/>
  <c r="B129" i="81"/>
  <c r="T169" i="81"/>
  <c r="T170" i="81"/>
  <c r="R175" i="81" s="1"/>
  <c r="T182" i="81"/>
  <c r="T183" i="81" s="1"/>
  <c r="R185" i="81" s="1"/>
  <c r="R186" i="81" s="1"/>
  <c r="T180" i="81"/>
  <c r="C77" i="80"/>
  <c r="C181" i="80"/>
  <c r="F181" i="80" s="1"/>
  <c r="T180" i="80"/>
  <c r="C80" i="80"/>
  <c r="M78" i="80"/>
  <c r="M79" i="80" s="1"/>
  <c r="C81" i="80" s="1"/>
  <c r="M65" i="80"/>
  <c r="M66" i="80" s="1"/>
  <c r="C63" i="80" s="1"/>
  <c r="C62" i="80"/>
  <c r="C54" i="80"/>
  <c r="T169" i="80"/>
  <c r="T170" i="80"/>
  <c r="R175" i="80" s="1"/>
  <c r="T182" i="80"/>
  <c r="T183" i="80" s="1"/>
  <c r="R185" i="80" s="1"/>
  <c r="R186" i="80" s="1"/>
  <c r="M33" i="80"/>
  <c r="M34" i="80"/>
  <c r="K39" i="80" s="1"/>
  <c r="T205" i="80"/>
  <c r="R207" i="80" s="1"/>
  <c r="R208" i="80" s="1"/>
  <c r="U26" i="79"/>
  <c r="C181" i="79"/>
  <c r="F181" i="79" s="1"/>
  <c r="C54" i="79"/>
  <c r="M65" i="79"/>
  <c r="M66" i="79" s="1"/>
  <c r="C63" i="79" s="1"/>
  <c r="C62" i="79"/>
  <c r="T180" i="79"/>
  <c r="C80" i="79"/>
  <c r="M78" i="79"/>
  <c r="M79" i="79" s="1"/>
  <c r="C81" i="79" s="1"/>
  <c r="T169" i="79"/>
  <c r="T182" i="79"/>
  <c r="T183" i="79" s="1"/>
  <c r="R185" i="79" s="1"/>
  <c r="R186" i="79" s="1"/>
  <c r="T170" i="79"/>
  <c r="R175" i="79" s="1"/>
  <c r="M33" i="79"/>
  <c r="M34" i="79"/>
  <c r="K39" i="79" s="1"/>
  <c r="T205" i="79"/>
  <c r="R207" i="79" s="1"/>
  <c r="R208" i="79" s="1"/>
  <c r="C42" i="78"/>
  <c r="C43" i="78" s="1"/>
  <c r="C54" i="78"/>
  <c r="C77" i="78"/>
  <c r="B170" i="78"/>
  <c r="T180" i="78"/>
  <c r="C80" i="78"/>
  <c r="M78" i="78"/>
  <c r="M79" i="78" s="1"/>
  <c r="C81" i="78" s="1"/>
  <c r="M65" i="78"/>
  <c r="M66" i="78" s="1"/>
  <c r="C63" i="78" s="1"/>
  <c r="C62" i="78"/>
  <c r="T169" i="78"/>
  <c r="T182" i="78"/>
  <c r="T183" i="78" s="1"/>
  <c r="R185" i="78" s="1"/>
  <c r="R186" i="78" s="1"/>
  <c r="T170" i="78"/>
  <c r="R175" i="78" s="1"/>
  <c r="M33" i="78"/>
  <c r="M34" i="78"/>
  <c r="K39" i="78" s="1"/>
  <c r="T205" i="78"/>
  <c r="R207" i="78" s="1"/>
  <c r="R208" i="78" s="1"/>
  <c r="U26" i="77"/>
  <c r="C54" i="77"/>
  <c r="M65" i="77"/>
  <c r="M66" i="77" s="1"/>
  <c r="C63" i="77" s="1"/>
  <c r="C62" i="77"/>
  <c r="M78" i="77"/>
  <c r="M79" i="77" s="1"/>
  <c r="C81" i="77" s="1"/>
  <c r="T180" i="77"/>
  <c r="C181" i="77"/>
  <c r="F181" i="77" s="1"/>
  <c r="T169" i="77"/>
  <c r="T170" i="77"/>
  <c r="R175" i="77" s="1"/>
  <c r="T182" i="77"/>
  <c r="T183" i="77" s="1"/>
  <c r="R185" i="77" s="1"/>
  <c r="R186" i="77" s="1"/>
  <c r="M33" i="77"/>
  <c r="M34" i="77"/>
  <c r="K39" i="77" s="1"/>
  <c r="T205" i="77"/>
  <c r="R207" i="77" s="1"/>
  <c r="R208" i="77" s="1"/>
  <c r="C75" i="74"/>
  <c r="T202" i="74"/>
  <c r="T203" i="74" s="1"/>
  <c r="T204" i="74" s="1"/>
  <c r="R209" i="74" s="1"/>
  <c r="T179" i="74"/>
  <c r="R187" i="74" s="1"/>
  <c r="M32" i="74"/>
  <c r="M33" i="74" s="1"/>
  <c r="M71" i="74"/>
  <c r="M73" i="74" s="1"/>
  <c r="M78" i="74" s="1"/>
  <c r="M79" i="74" s="1"/>
  <c r="C81" i="74" s="1"/>
  <c r="B175" i="74"/>
  <c r="B170" i="74"/>
  <c r="C77" i="75"/>
  <c r="B135" i="75"/>
  <c r="V130" i="75" s="1"/>
  <c r="R130" i="75"/>
  <c r="C47" i="75"/>
  <c r="M67" i="75"/>
  <c r="C64" i="75" s="1"/>
  <c r="M80" i="75"/>
  <c r="C82" i="75" s="1"/>
  <c r="M98" i="75"/>
  <c r="M109" i="75"/>
  <c r="E111" i="75" s="1"/>
  <c r="B116" i="75" s="1"/>
  <c r="M86" i="75"/>
  <c r="B91" i="75"/>
  <c r="B92" i="75" s="1"/>
  <c r="B93" i="75" s="1"/>
  <c r="M65" i="75"/>
  <c r="M66" i="75" s="1"/>
  <c r="C63" i="75" s="1"/>
  <c r="C62" i="75"/>
  <c r="T180" i="75"/>
  <c r="C54" i="75"/>
  <c r="C181" i="75"/>
  <c r="F181" i="75" s="1"/>
  <c r="C80" i="75"/>
  <c r="M78" i="75"/>
  <c r="M79" i="75" s="1"/>
  <c r="C81" i="75" s="1"/>
  <c r="T169" i="75"/>
  <c r="T170" i="75"/>
  <c r="R175" i="75" s="1"/>
  <c r="T182" i="75"/>
  <c r="T183" i="75" s="1"/>
  <c r="R185" i="75" s="1"/>
  <c r="R186" i="75" s="1"/>
  <c r="M33" i="75"/>
  <c r="M34" i="75"/>
  <c r="K39" i="75" s="1"/>
  <c r="T205" i="75"/>
  <c r="R207" i="75" s="1"/>
  <c r="R208" i="75" s="1"/>
  <c r="T168" i="74"/>
  <c r="T169" i="74" s="1"/>
  <c r="C58" i="74"/>
  <c r="C59" i="74" s="1"/>
  <c r="C53" i="74"/>
  <c r="B179" i="74"/>
  <c r="C52" i="74"/>
  <c r="M58" i="74"/>
  <c r="M60" i="74" s="1"/>
  <c r="C55" i="74"/>
  <c r="B128" i="74"/>
  <c r="B99" i="74"/>
  <c r="B88" i="74"/>
  <c r="C58" i="72"/>
  <c r="C59" i="72" s="1"/>
  <c r="B170" i="72"/>
  <c r="C76" i="72"/>
  <c r="C75" i="72"/>
  <c r="B175" i="72"/>
  <c r="C78" i="72"/>
  <c r="M71" i="72"/>
  <c r="M73" i="72" s="1"/>
  <c r="B128" i="72"/>
  <c r="B110" i="72"/>
  <c r="B113" i="72" s="1"/>
  <c r="B114" i="72" s="1"/>
  <c r="B115" i="72" s="1"/>
  <c r="B88" i="72"/>
  <c r="T191" i="72"/>
  <c r="T192" i="72" s="1"/>
  <c r="T202" i="72"/>
  <c r="T203" i="72" s="1"/>
  <c r="T204" i="72" s="1"/>
  <c r="R209" i="72" s="1"/>
  <c r="T179" i="72"/>
  <c r="R187" i="72" s="1"/>
  <c r="M32" i="72"/>
  <c r="T168" i="72"/>
  <c r="B179" i="72"/>
  <c r="C53" i="72"/>
  <c r="T202" i="71"/>
  <c r="T203" i="71" s="1"/>
  <c r="T204" i="71" s="1"/>
  <c r="R209" i="71" s="1"/>
  <c r="T179" i="71"/>
  <c r="R187" i="71" s="1"/>
  <c r="M32" i="71"/>
  <c r="M33" i="71" s="1"/>
  <c r="B99" i="71"/>
  <c r="B128" i="71"/>
  <c r="B88" i="71"/>
  <c r="C53" i="71"/>
  <c r="G173" i="71"/>
  <c r="B175" i="71" s="1"/>
  <c r="C76" i="71"/>
  <c r="C75" i="71"/>
  <c r="B170" i="71"/>
  <c r="C78" i="71"/>
  <c r="M71" i="71"/>
  <c r="M73" i="71" s="1"/>
  <c r="G178" i="69"/>
  <c r="M9" i="69"/>
  <c r="T168" i="70"/>
  <c r="T169" i="70" s="1"/>
  <c r="M32" i="70"/>
  <c r="M33" i="70" s="1"/>
  <c r="C42" i="70"/>
  <c r="C43" i="70" s="1"/>
  <c r="B160" i="70" s="1"/>
  <c r="T202" i="70"/>
  <c r="T203" i="70" s="1"/>
  <c r="T204" i="70" s="1"/>
  <c r="R209" i="70" s="1"/>
  <c r="T179" i="70"/>
  <c r="R187" i="70" s="1"/>
  <c r="B99" i="70"/>
  <c r="B110" i="70" s="1"/>
  <c r="B113" i="70" s="1"/>
  <c r="B114" i="70" s="1"/>
  <c r="B115" i="70" s="1"/>
  <c r="M58" i="70"/>
  <c r="M60" i="70" s="1"/>
  <c r="C58" i="70"/>
  <c r="C59" i="70" s="1"/>
  <c r="C55" i="70"/>
  <c r="C53" i="70"/>
  <c r="G177" i="70"/>
  <c r="B179" i="70" s="1"/>
  <c r="C52" i="70"/>
  <c r="C75" i="70"/>
  <c r="G173" i="70"/>
  <c r="B175" i="70" s="1"/>
  <c r="B170" i="70"/>
  <c r="C78" i="70"/>
  <c r="C76" i="70"/>
  <c r="M71" i="70"/>
  <c r="M73" i="70" s="1"/>
  <c r="C22" i="69"/>
  <c r="O91" i="69"/>
  <c r="O100" i="69"/>
  <c r="P22" i="69"/>
  <c r="T191" i="69"/>
  <c r="T192" i="69" s="1"/>
  <c r="T202" i="69"/>
  <c r="T203" i="69" s="1"/>
  <c r="T204" i="69" s="1"/>
  <c r="T179" i="69"/>
  <c r="T168" i="69"/>
  <c r="T169" i="69" s="1"/>
  <c r="M32" i="69"/>
  <c r="M33" i="69" s="1"/>
  <c r="M14" i="69"/>
  <c r="C48" i="69"/>
  <c r="C71" i="69"/>
  <c r="O88" i="69"/>
  <c r="O90" i="69"/>
  <c r="O92" i="69"/>
  <c r="O110" i="69"/>
  <c r="O112" i="69"/>
  <c r="M11" i="69"/>
  <c r="M59" i="69"/>
  <c r="R132" i="69"/>
  <c r="R133" i="69" s="1"/>
  <c r="B144" i="69"/>
  <c r="B157" i="69"/>
  <c r="M12" i="69"/>
  <c r="M13" i="69"/>
  <c r="C23" i="69"/>
  <c r="C26" i="69"/>
  <c r="B87" i="69"/>
  <c r="O87" i="69"/>
  <c r="O89" i="69"/>
  <c r="O99" i="69"/>
  <c r="O111" i="69"/>
  <c r="C27" i="69"/>
  <c r="R206" i="68"/>
  <c r="R195" i="68"/>
  <c r="R184" i="68"/>
  <c r="B177" i="68"/>
  <c r="R172" i="68"/>
  <c r="B173" i="68"/>
  <c r="B133" i="68"/>
  <c r="B112" i="68"/>
  <c r="B101" i="68"/>
  <c r="B90" i="68"/>
  <c r="M77" i="68"/>
  <c r="M64" i="68"/>
  <c r="K36" i="68"/>
  <c r="F32" i="68"/>
  <c r="M29" i="68"/>
  <c r="L27" i="68"/>
  <c r="M72" i="68"/>
  <c r="L22" i="68"/>
  <c r="C20" i="68"/>
  <c r="N17" i="68"/>
  <c r="M20" i="68" s="1"/>
  <c r="M17" i="68"/>
  <c r="N16" i="68"/>
  <c r="M16" i="68"/>
  <c r="N15" i="68"/>
  <c r="M15" i="68"/>
  <c r="L14" i="68"/>
  <c r="N14" i="68" s="1"/>
  <c r="L13" i="68"/>
  <c r="N13" i="68" s="1"/>
  <c r="L12" i="68"/>
  <c r="N12" i="68" s="1"/>
  <c r="L11" i="68"/>
  <c r="N11" i="68" s="1"/>
  <c r="L10" i="68"/>
  <c r="N10" i="68" s="1"/>
  <c r="N9" i="68"/>
  <c r="L9" i="68"/>
  <c r="M9" i="68" s="1"/>
  <c r="C69" i="74" l="1"/>
  <c r="C46" i="74"/>
  <c r="C47" i="74" s="1"/>
  <c r="B160" i="74"/>
  <c r="R131" i="74"/>
  <c r="V127" i="74"/>
  <c r="B132" i="74"/>
  <c r="M159" i="74"/>
  <c r="B147" i="74"/>
  <c r="M146" i="74"/>
  <c r="B145" i="72"/>
  <c r="B148" i="72" s="1"/>
  <c r="C46" i="72"/>
  <c r="C69" i="72"/>
  <c r="C70" i="72" s="1"/>
  <c r="B132" i="72"/>
  <c r="R131" i="72"/>
  <c r="B160" i="72"/>
  <c r="V127" i="72"/>
  <c r="B147" i="72"/>
  <c r="B135" i="78"/>
  <c r="R134" i="78" s="1"/>
  <c r="C69" i="78"/>
  <c r="C70" i="78" s="1"/>
  <c r="C46" i="78"/>
  <c r="C47" i="78" s="1"/>
  <c r="R131" i="78"/>
  <c r="B147" i="78"/>
  <c r="M146" i="78"/>
  <c r="X131" i="78"/>
  <c r="B132" i="78"/>
  <c r="B160" i="78"/>
  <c r="M159" i="78"/>
  <c r="V131" i="78"/>
  <c r="B170" i="77"/>
  <c r="C41" i="77"/>
  <c r="C69" i="80"/>
  <c r="C46" i="80"/>
  <c r="B160" i="80"/>
  <c r="M159" i="80"/>
  <c r="V131" i="80"/>
  <c r="B132" i="80"/>
  <c r="X131" i="80"/>
  <c r="R131" i="80"/>
  <c r="M146" i="80"/>
  <c r="B147" i="80"/>
  <c r="T182" i="71"/>
  <c r="C46" i="71"/>
  <c r="C69" i="71"/>
  <c r="C70" i="71" s="1"/>
  <c r="B132" i="71"/>
  <c r="R131" i="71"/>
  <c r="B147" i="71"/>
  <c r="V127" i="71"/>
  <c r="T170" i="71"/>
  <c r="R175" i="71" s="1"/>
  <c r="B160" i="71"/>
  <c r="T205" i="69"/>
  <c r="R207" i="69" s="1"/>
  <c r="R208" i="69" s="1"/>
  <c r="R209" i="69"/>
  <c r="C55" i="69"/>
  <c r="C41" i="69"/>
  <c r="C42" i="69" s="1"/>
  <c r="C43" i="69" s="1"/>
  <c r="T180" i="69"/>
  <c r="R187" i="69"/>
  <c r="V127" i="70"/>
  <c r="C69" i="70"/>
  <c r="C70" i="70" s="1"/>
  <c r="C46" i="70"/>
  <c r="C47" i="70" s="1"/>
  <c r="R131" i="70"/>
  <c r="B170" i="81"/>
  <c r="C41" i="81"/>
  <c r="C42" i="81" s="1"/>
  <c r="C43" i="81" s="1"/>
  <c r="C49" i="75"/>
  <c r="C50" i="75" s="1"/>
  <c r="C60" i="75" s="1"/>
  <c r="C72" i="75"/>
  <c r="C73" i="75" s="1"/>
  <c r="C74" i="75" s="1"/>
  <c r="C79" i="75" s="1"/>
  <c r="C83" i="75" s="1"/>
  <c r="G178" i="68"/>
  <c r="M19" i="68"/>
  <c r="B134" i="68"/>
  <c r="V128" i="68"/>
  <c r="V129" i="68" s="1"/>
  <c r="R130" i="70"/>
  <c r="T180" i="74"/>
  <c r="T205" i="74"/>
  <c r="R207" i="74" s="1"/>
  <c r="R208" i="74" s="1"/>
  <c r="C77" i="74"/>
  <c r="V126" i="75"/>
  <c r="V132" i="75" s="1"/>
  <c r="V133" i="75" s="1"/>
  <c r="R135" i="75"/>
  <c r="C54" i="72"/>
  <c r="M65" i="72"/>
  <c r="M66" i="72" s="1"/>
  <c r="C63" i="72" s="1"/>
  <c r="T171" i="71"/>
  <c r="R173" i="71" s="1"/>
  <c r="R174" i="71" s="1"/>
  <c r="T183" i="71"/>
  <c r="R185" i="71" s="1"/>
  <c r="R186" i="71" s="1"/>
  <c r="C54" i="71"/>
  <c r="M34" i="69"/>
  <c r="G177" i="69"/>
  <c r="B179" i="69" s="1"/>
  <c r="T180" i="70"/>
  <c r="T205" i="70"/>
  <c r="R207" i="70" s="1"/>
  <c r="R208" i="70" s="1"/>
  <c r="T181" i="68"/>
  <c r="M65" i="71"/>
  <c r="M66" i="71" s="1"/>
  <c r="C63" i="71" s="1"/>
  <c r="C181" i="71"/>
  <c r="F181" i="71" s="1"/>
  <c r="B91" i="78"/>
  <c r="B92" i="78" s="1"/>
  <c r="B93" i="78" s="1"/>
  <c r="C80" i="74"/>
  <c r="V135" i="78"/>
  <c r="T205" i="71"/>
  <c r="R207" i="71" s="1"/>
  <c r="R208" i="71" s="1"/>
  <c r="M109" i="71"/>
  <c r="E111" i="71" s="1"/>
  <c r="B116" i="71" s="1"/>
  <c r="B117" i="71" s="1"/>
  <c r="B136" i="78"/>
  <c r="X135" i="78" s="1"/>
  <c r="M86" i="78"/>
  <c r="E89" i="78" s="1"/>
  <c r="B94" i="78" s="1"/>
  <c r="R132" i="68"/>
  <c r="R133" i="68" s="1"/>
  <c r="C54" i="70"/>
  <c r="M34" i="74"/>
  <c r="K39" i="74" s="1"/>
  <c r="C53" i="69"/>
  <c r="M58" i="69"/>
  <c r="M60" i="69" s="1"/>
  <c r="T182" i="70"/>
  <c r="T183" i="70" s="1"/>
  <c r="R185" i="70" s="1"/>
  <c r="R186" i="70" s="1"/>
  <c r="M144" i="78"/>
  <c r="M147" i="78" s="1"/>
  <c r="M98" i="78"/>
  <c r="E100" i="78" s="1"/>
  <c r="B105" i="78" s="1"/>
  <c r="M145" i="75"/>
  <c r="M148" i="75"/>
  <c r="M149" i="75" s="1"/>
  <c r="M67" i="71"/>
  <c r="C64" i="71" s="1"/>
  <c r="T170" i="70"/>
  <c r="R134" i="75"/>
  <c r="M109" i="78"/>
  <c r="M116" i="78" s="1"/>
  <c r="B113" i="78" s="1"/>
  <c r="B114" i="78" s="1"/>
  <c r="B115" i="78" s="1"/>
  <c r="M158" i="75"/>
  <c r="M161" i="75"/>
  <c r="M162" i="75" s="1"/>
  <c r="M13" i="68"/>
  <c r="B136" i="71"/>
  <c r="C177" i="81"/>
  <c r="F177" i="81" s="1"/>
  <c r="T171" i="81"/>
  <c r="R173" i="81" s="1"/>
  <c r="R174" i="81" s="1"/>
  <c r="T193" i="81"/>
  <c r="T194" i="81" s="1"/>
  <c r="R196" i="81" s="1"/>
  <c r="R197" i="81" s="1"/>
  <c r="V199" i="81"/>
  <c r="R198" i="81" s="1"/>
  <c r="R210" i="81"/>
  <c r="H37" i="81" s="1"/>
  <c r="AE206" i="81"/>
  <c r="M35" i="81"/>
  <c r="K37" i="81" s="1"/>
  <c r="K38" i="81" s="1"/>
  <c r="R188" i="81"/>
  <c r="H35" i="81" s="1"/>
  <c r="AE184" i="81"/>
  <c r="X130" i="80"/>
  <c r="R130" i="80"/>
  <c r="M144" i="80"/>
  <c r="M147" i="80" s="1"/>
  <c r="B131" i="80"/>
  <c r="C70" i="80"/>
  <c r="R210" i="80"/>
  <c r="H37" i="80" s="1"/>
  <c r="AE206" i="80"/>
  <c r="M35" i="80"/>
  <c r="K37" i="80" s="1"/>
  <c r="K38" i="80" s="1"/>
  <c r="B136" i="80"/>
  <c r="M98" i="80"/>
  <c r="V135" i="80"/>
  <c r="M109" i="80"/>
  <c r="M86" i="80"/>
  <c r="B91" i="80"/>
  <c r="B92" i="80" s="1"/>
  <c r="B93" i="80" s="1"/>
  <c r="V130" i="80"/>
  <c r="V136" i="80" s="1"/>
  <c r="C47" i="80"/>
  <c r="X136" i="80"/>
  <c r="B145" i="80"/>
  <c r="B148" i="80" s="1"/>
  <c r="B158" i="80"/>
  <c r="B161" i="80" s="1"/>
  <c r="M157" i="80"/>
  <c r="M160" i="80" s="1"/>
  <c r="M80" i="80"/>
  <c r="V134" i="80"/>
  <c r="M67" i="80"/>
  <c r="B135" i="80"/>
  <c r="T171" i="80"/>
  <c r="R173" i="80" s="1"/>
  <c r="R174" i="80" s="1"/>
  <c r="T193" i="80"/>
  <c r="T194" i="80" s="1"/>
  <c r="R196" i="80" s="1"/>
  <c r="R197" i="80" s="1"/>
  <c r="V199" i="80"/>
  <c r="R198" i="80" s="1"/>
  <c r="R188" i="80"/>
  <c r="H35" i="80" s="1"/>
  <c r="AE184" i="80"/>
  <c r="F20" i="79"/>
  <c r="R210" i="79"/>
  <c r="AE206" i="79"/>
  <c r="M35" i="79"/>
  <c r="K37" i="79" s="1"/>
  <c r="K38" i="79" s="1"/>
  <c r="T171" i="79"/>
  <c r="R173" i="79" s="1"/>
  <c r="R174" i="79" s="1"/>
  <c r="T193" i="79"/>
  <c r="T194" i="79" s="1"/>
  <c r="R196" i="79" s="1"/>
  <c r="R197" i="79" s="1"/>
  <c r="V199" i="79"/>
  <c r="R198" i="79" s="1"/>
  <c r="R188" i="79"/>
  <c r="H35" i="79" s="1"/>
  <c r="AE184" i="79"/>
  <c r="M67" i="78"/>
  <c r="B158" i="78"/>
  <c r="B161" i="78" s="1"/>
  <c r="X130" i="78"/>
  <c r="X136" i="78" s="1"/>
  <c r="R130" i="78"/>
  <c r="K128" i="78" s="1"/>
  <c r="M157" i="78"/>
  <c r="M160" i="78" s="1"/>
  <c r="B145" i="78"/>
  <c r="B148" i="78" s="1"/>
  <c r="V130" i="78"/>
  <c r="V136" i="78" s="1"/>
  <c r="B131" i="78"/>
  <c r="M80" i="78"/>
  <c r="C82" i="78" s="1"/>
  <c r="E82" i="78" s="1"/>
  <c r="V134" i="78"/>
  <c r="M145" i="78"/>
  <c r="R210" i="78"/>
  <c r="AE206" i="78"/>
  <c r="M35" i="78"/>
  <c r="K37" i="78" s="1"/>
  <c r="K38" i="78" s="1"/>
  <c r="T171" i="78"/>
  <c r="R173" i="78" s="1"/>
  <c r="R174" i="78" s="1"/>
  <c r="T193" i="78"/>
  <c r="T194" i="78" s="1"/>
  <c r="R196" i="78" s="1"/>
  <c r="R197" i="78" s="1"/>
  <c r="V199" i="78"/>
  <c r="R198" i="78" s="1"/>
  <c r="R188" i="78"/>
  <c r="H35" i="78" s="1"/>
  <c r="AE184" i="78"/>
  <c r="M157" i="74"/>
  <c r="M160" i="74" s="1"/>
  <c r="B145" i="74"/>
  <c r="B148" i="74" s="1"/>
  <c r="M144" i="74"/>
  <c r="M147" i="74" s="1"/>
  <c r="T170" i="74"/>
  <c r="F20" i="77"/>
  <c r="C42" i="77"/>
  <c r="C43" i="77" s="1"/>
  <c r="R210" i="77"/>
  <c r="AE206" i="77"/>
  <c r="M35" i="77"/>
  <c r="K37" i="77" s="1"/>
  <c r="K38" i="77" s="1"/>
  <c r="R188" i="77"/>
  <c r="H35" i="77" s="1"/>
  <c r="AE184" i="77"/>
  <c r="T171" i="77"/>
  <c r="R173" i="77" s="1"/>
  <c r="R174" i="77" s="1"/>
  <c r="T193" i="77"/>
  <c r="T194" i="77" s="1"/>
  <c r="R196" i="77" s="1"/>
  <c r="R197" i="77" s="1"/>
  <c r="V199" i="77"/>
  <c r="R198" i="77" s="1"/>
  <c r="B131" i="74"/>
  <c r="T182" i="74"/>
  <c r="T183" i="74" s="1"/>
  <c r="R185" i="74" s="1"/>
  <c r="R186" i="74" s="1"/>
  <c r="E89" i="75"/>
  <c r="E100" i="75"/>
  <c r="O80" i="75"/>
  <c r="T171" i="75"/>
  <c r="R173" i="75" s="1"/>
  <c r="R174" i="75" s="1"/>
  <c r="T193" i="75"/>
  <c r="T194" i="75" s="1"/>
  <c r="R196" i="75" s="1"/>
  <c r="R197" i="75" s="1"/>
  <c r="V199" i="75"/>
  <c r="R198" i="75" s="1"/>
  <c r="E64" i="75"/>
  <c r="F31" i="75"/>
  <c r="B146" i="75"/>
  <c r="B149" i="75"/>
  <c r="B150" i="75" s="1"/>
  <c r="E82" i="75"/>
  <c r="R210" i="75"/>
  <c r="H37" i="75" s="1"/>
  <c r="AE206" i="75"/>
  <c r="M35" i="75"/>
  <c r="K37" i="75" s="1"/>
  <c r="K38" i="75" s="1"/>
  <c r="R188" i="75"/>
  <c r="H35" i="75" s="1"/>
  <c r="AE184" i="75"/>
  <c r="B159" i="75"/>
  <c r="B162" i="75"/>
  <c r="B163" i="75" s="1"/>
  <c r="D131" i="75"/>
  <c r="F131" i="75" s="1"/>
  <c r="B137" i="75"/>
  <c r="K128" i="75"/>
  <c r="R136" i="75"/>
  <c r="O67" i="75"/>
  <c r="B158" i="74"/>
  <c r="B161" i="74" s="1"/>
  <c r="C70" i="74"/>
  <c r="C54" i="74"/>
  <c r="C181" i="74"/>
  <c r="F181" i="74" s="1"/>
  <c r="M86" i="74"/>
  <c r="B91" i="74"/>
  <c r="B92" i="74" s="1"/>
  <c r="B93" i="74" s="1"/>
  <c r="B110" i="74"/>
  <c r="B113" i="74" s="1"/>
  <c r="B114" i="74" s="1"/>
  <c r="B115" i="74" s="1"/>
  <c r="B102" i="74"/>
  <c r="B103" i="74" s="1"/>
  <c r="B104" i="74" s="1"/>
  <c r="C62" i="74"/>
  <c r="M65" i="74"/>
  <c r="M66" i="74" s="1"/>
  <c r="C63" i="74" s="1"/>
  <c r="B135" i="74"/>
  <c r="V130" i="74" s="1"/>
  <c r="B129" i="74"/>
  <c r="B136" i="74"/>
  <c r="V131" i="74" s="1"/>
  <c r="M98" i="74"/>
  <c r="M67" i="74"/>
  <c r="R130" i="74"/>
  <c r="M80" i="74"/>
  <c r="C181" i="72"/>
  <c r="F181" i="72" s="1"/>
  <c r="B158" i="72"/>
  <c r="B161" i="72" s="1"/>
  <c r="R130" i="72"/>
  <c r="C47" i="72"/>
  <c r="M86" i="72"/>
  <c r="C77" i="72"/>
  <c r="T180" i="72"/>
  <c r="M78" i="72"/>
  <c r="M79" i="72" s="1"/>
  <c r="C81" i="72" s="1"/>
  <c r="C80" i="72"/>
  <c r="T205" i="72"/>
  <c r="R207" i="72" s="1"/>
  <c r="R208" i="72" s="1"/>
  <c r="B91" i="72"/>
  <c r="B92" i="72" s="1"/>
  <c r="B93" i="72" s="1"/>
  <c r="M67" i="72"/>
  <c r="T169" i="72"/>
  <c r="T170" i="72"/>
  <c r="R175" i="72" s="1"/>
  <c r="T182" i="72"/>
  <c r="T183" i="72" s="1"/>
  <c r="R185" i="72" s="1"/>
  <c r="R186" i="72" s="1"/>
  <c r="M33" i="72"/>
  <c r="M34" i="72"/>
  <c r="K39" i="72" s="1"/>
  <c r="B135" i="72"/>
  <c r="B129" i="72"/>
  <c r="B136" i="72"/>
  <c r="M109" i="72"/>
  <c r="E111" i="72" s="1"/>
  <c r="M98" i="72"/>
  <c r="B131" i="72"/>
  <c r="M80" i="72"/>
  <c r="M80" i="71"/>
  <c r="C82" i="71" s="1"/>
  <c r="M34" i="71"/>
  <c r="K39" i="71" s="1"/>
  <c r="M98" i="71"/>
  <c r="E100" i="71" s="1"/>
  <c r="B105" i="71" s="1"/>
  <c r="R130" i="71"/>
  <c r="R136" i="71" s="1"/>
  <c r="B91" i="71"/>
  <c r="B92" i="71" s="1"/>
  <c r="B93" i="71" s="1"/>
  <c r="B131" i="71"/>
  <c r="T180" i="71"/>
  <c r="R188" i="71"/>
  <c r="H35" i="71" s="1"/>
  <c r="B102" i="71"/>
  <c r="B103" i="71" s="1"/>
  <c r="B104" i="71" s="1"/>
  <c r="M86" i="71"/>
  <c r="B158" i="71"/>
  <c r="B161" i="71" s="1"/>
  <c r="B145" i="71"/>
  <c r="B148" i="71" s="1"/>
  <c r="C47" i="71"/>
  <c r="C77" i="71"/>
  <c r="R210" i="71"/>
  <c r="H37" i="71" s="1"/>
  <c r="AE206" i="71"/>
  <c r="B135" i="71"/>
  <c r="B129" i="71"/>
  <c r="C80" i="71"/>
  <c r="M78" i="71"/>
  <c r="M79" i="71" s="1"/>
  <c r="C81" i="71" s="1"/>
  <c r="G174" i="68"/>
  <c r="M59" i="68"/>
  <c r="M12" i="68"/>
  <c r="M14" i="68"/>
  <c r="M11" i="68"/>
  <c r="T182" i="69"/>
  <c r="T183" i="69" s="1"/>
  <c r="R185" i="69" s="1"/>
  <c r="R186" i="69" s="1"/>
  <c r="B102" i="70"/>
  <c r="B103" i="70" s="1"/>
  <c r="B104" i="70" s="1"/>
  <c r="M34" i="70"/>
  <c r="K39" i="70" s="1"/>
  <c r="M67" i="70"/>
  <c r="C64" i="70" s="1"/>
  <c r="M109" i="70"/>
  <c r="M98" i="70"/>
  <c r="B158" i="70"/>
  <c r="B161" i="70" s="1"/>
  <c r="M86" i="70"/>
  <c r="B91" i="70"/>
  <c r="B92" i="70" s="1"/>
  <c r="B93" i="70" s="1"/>
  <c r="C77" i="70"/>
  <c r="M80" i="70"/>
  <c r="M78" i="70"/>
  <c r="M79" i="70" s="1"/>
  <c r="C81" i="70" s="1"/>
  <c r="C80" i="70"/>
  <c r="M65" i="70"/>
  <c r="M66" i="70" s="1"/>
  <c r="C63" i="70" s="1"/>
  <c r="C62" i="70"/>
  <c r="C181" i="70"/>
  <c r="F181" i="70" s="1"/>
  <c r="R210" i="69"/>
  <c r="H37" i="69" s="1"/>
  <c r="C52" i="69"/>
  <c r="T170" i="69"/>
  <c r="R175" i="69" s="1"/>
  <c r="C75" i="69"/>
  <c r="C78" i="69"/>
  <c r="M71" i="69"/>
  <c r="M73" i="69" s="1"/>
  <c r="G173" i="69"/>
  <c r="B175" i="69" s="1"/>
  <c r="C76" i="69"/>
  <c r="B128" i="69"/>
  <c r="B88" i="69"/>
  <c r="B99" i="69"/>
  <c r="B110" i="69" s="1"/>
  <c r="B113" i="69" s="1"/>
  <c r="C58" i="69"/>
  <c r="C59" i="69" s="1"/>
  <c r="C22" i="68"/>
  <c r="Q27" i="68"/>
  <c r="S27" i="68" s="1"/>
  <c r="F21" i="68" s="1"/>
  <c r="C28" i="68"/>
  <c r="C27" i="68"/>
  <c r="B144" i="68"/>
  <c r="B87" i="68"/>
  <c r="C26" i="68"/>
  <c r="C71" i="68"/>
  <c r="C48" i="68"/>
  <c r="P22" i="68"/>
  <c r="O88" i="68"/>
  <c r="O90" i="68"/>
  <c r="O92" i="68"/>
  <c r="O100" i="68"/>
  <c r="O103" i="68"/>
  <c r="O111" i="68"/>
  <c r="O114" i="68"/>
  <c r="M10" i="68"/>
  <c r="C23" i="68"/>
  <c r="M104" i="68" s="1"/>
  <c r="O87" i="68"/>
  <c r="O89" i="68"/>
  <c r="O91" i="68"/>
  <c r="O99" i="68"/>
  <c r="O110" i="68"/>
  <c r="O112" i="68"/>
  <c r="R206" i="67"/>
  <c r="R195" i="67"/>
  <c r="R184" i="67"/>
  <c r="B177" i="67"/>
  <c r="R172" i="67"/>
  <c r="B173" i="67"/>
  <c r="B133" i="67"/>
  <c r="B112" i="67"/>
  <c r="B101" i="67"/>
  <c r="O103" i="67" s="1"/>
  <c r="B90" i="67"/>
  <c r="M77" i="67"/>
  <c r="M64" i="67"/>
  <c r="K36" i="67"/>
  <c r="F32" i="67"/>
  <c r="M29" i="67"/>
  <c r="L27" i="67"/>
  <c r="B87" i="67"/>
  <c r="P22" i="67"/>
  <c r="M59" i="67"/>
  <c r="C20" i="67"/>
  <c r="N17" i="67"/>
  <c r="M17" i="67"/>
  <c r="N16" i="67"/>
  <c r="M16" i="67"/>
  <c r="O90" i="67"/>
  <c r="N15" i="67"/>
  <c r="M15" i="67"/>
  <c r="L14" i="67"/>
  <c r="M14" i="67" s="1"/>
  <c r="L13" i="67"/>
  <c r="N13" i="67" s="1"/>
  <c r="L12" i="67"/>
  <c r="N12" i="67" s="1"/>
  <c r="L11" i="67"/>
  <c r="N11" i="67" s="1"/>
  <c r="L10" i="67"/>
  <c r="N10" i="67" s="1"/>
  <c r="L9" i="67"/>
  <c r="N9" i="67" s="1"/>
  <c r="R206" i="66"/>
  <c r="R195" i="66"/>
  <c r="R184" i="66"/>
  <c r="B177" i="66"/>
  <c r="R172" i="66"/>
  <c r="B173" i="66"/>
  <c r="B133" i="66"/>
  <c r="B134" i="66" s="1"/>
  <c r="B112" i="66"/>
  <c r="O112" i="66" s="1"/>
  <c r="B101" i="66"/>
  <c r="O102" i="66" s="1"/>
  <c r="B90" i="66"/>
  <c r="O93" i="66" s="1"/>
  <c r="M77" i="66"/>
  <c r="M64" i="66"/>
  <c r="K36" i="66"/>
  <c r="M29" i="66"/>
  <c r="L27" i="66"/>
  <c r="M72" i="66"/>
  <c r="M59" i="66"/>
  <c r="C20" i="66"/>
  <c r="N17" i="66"/>
  <c r="M17" i="66"/>
  <c r="N16" i="66"/>
  <c r="M16" i="66"/>
  <c r="N15" i="66"/>
  <c r="M19" i="66" s="1"/>
  <c r="M15" i="66"/>
  <c r="L14" i="66"/>
  <c r="N14" i="66" s="1"/>
  <c r="L13" i="66"/>
  <c r="M13" i="66" s="1"/>
  <c r="L12" i="66"/>
  <c r="M12" i="66" s="1"/>
  <c r="L11" i="66"/>
  <c r="M11" i="66" s="1"/>
  <c r="L10" i="66"/>
  <c r="N10" i="66" s="1"/>
  <c r="L9" i="66"/>
  <c r="M9" i="66" s="1"/>
  <c r="M64" i="65"/>
  <c r="R206" i="65"/>
  <c r="R195" i="65"/>
  <c r="R184" i="65"/>
  <c r="B177" i="65"/>
  <c r="R172" i="65"/>
  <c r="B173" i="65"/>
  <c r="B133" i="65"/>
  <c r="B112" i="65"/>
  <c r="B101" i="65"/>
  <c r="O103" i="65" s="1"/>
  <c r="B90" i="65"/>
  <c r="O92" i="65" s="1"/>
  <c r="M77" i="65"/>
  <c r="K36" i="65"/>
  <c r="F32" i="65"/>
  <c r="M29" i="65"/>
  <c r="L27" i="65"/>
  <c r="M72" i="65"/>
  <c r="L22" i="65"/>
  <c r="N17" i="65"/>
  <c r="M17" i="65"/>
  <c r="N16" i="65"/>
  <c r="M20" i="65" s="1"/>
  <c r="M16" i="65"/>
  <c r="N15" i="65"/>
  <c r="M15" i="65"/>
  <c r="L14" i="65"/>
  <c r="N14" i="65" s="1"/>
  <c r="M19" i="65" s="1"/>
  <c r="L13" i="65"/>
  <c r="M13" i="65" s="1"/>
  <c r="L12" i="65"/>
  <c r="M12" i="65" s="1"/>
  <c r="L11" i="65"/>
  <c r="M11" i="65" s="1"/>
  <c r="L10" i="65"/>
  <c r="N10" i="65" s="1"/>
  <c r="L9" i="65"/>
  <c r="M9" i="65" s="1"/>
  <c r="F32" i="64"/>
  <c r="F31" i="64"/>
  <c r="M77" i="64"/>
  <c r="T171" i="74" l="1"/>
  <c r="R173" i="74" s="1"/>
  <c r="R174" i="74" s="1"/>
  <c r="R175" i="74"/>
  <c r="B94" i="75"/>
  <c r="B95" i="75" s="1"/>
  <c r="C33" i="75" s="1"/>
  <c r="V134" i="75"/>
  <c r="V135" i="75" s="1"/>
  <c r="B105" i="75"/>
  <c r="B106" i="75" s="1"/>
  <c r="C34" i="75" s="1"/>
  <c r="C69" i="79"/>
  <c r="C70" i="79" s="1"/>
  <c r="C46" i="79"/>
  <c r="M159" i="79"/>
  <c r="B160" i="79"/>
  <c r="X131" i="79"/>
  <c r="B147" i="79"/>
  <c r="B132" i="79"/>
  <c r="R131" i="79"/>
  <c r="M146" i="79"/>
  <c r="V131" i="79"/>
  <c r="V126" i="72"/>
  <c r="V132" i="72" s="1"/>
  <c r="B116" i="72"/>
  <c r="B117" i="72" s="1"/>
  <c r="C35" i="72" s="1"/>
  <c r="X134" i="78"/>
  <c r="V137" i="78"/>
  <c r="V138" i="78" s="1"/>
  <c r="V139" i="78" s="1"/>
  <c r="C46" i="77"/>
  <c r="C47" i="77" s="1"/>
  <c r="B160" i="77"/>
  <c r="B147" i="77"/>
  <c r="V127" i="77"/>
  <c r="M159" i="77"/>
  <c r="M146" i="77"/>
  <c r="B132" i="77"/>
  <c r="R131" i="77"/>
  <c r="V199" i="71"/>
  <c r="R198" i="71" s="1"/>
  <c r="T193" i="71"/>
  <c r="T194" i="71" s="1"/>
  <c r="R196" i="71" s="1"/>
  <c r="R197" i="71" s="1"/>
  <c r="R199" i="71" s="1"/>
  <c r="H36" i="71" s="1"/>
  <c r="C35" i="71"/>
  <c r="C69" i="69"/>
  <c r="C70" i="69" s="1"/>
  <c r="C46" i="69"/>
  <c r="B132" i="69"/>
  <c r="B160" i="69"/>
  <c r="R131" i="69"/>
  <c r="M35" i="69"/>
  <c r="K37" i="69" s="1"/>
  <c r="K38" i="69" s="1"/>
  <c r="K39" i="69"/>
  <c r="X36" i="69" s="1"/>
  <c r="V127" i="69"/>
  <c r="B147" i="69"/>
  <c r="V126" i="70"/>
  <c r="V132" i="70" s="1"/>
  <c r="T193" i="70"/>
  <c r="T194" i="70" s="1"/>
  <c r="R196" i="70" s="1"/>
  <c r="R197" i="70" s="1"/>
  <c r="R175" i="70"/>
  <c r="M115" i="68"/>
  <c r="C46" i="81"/>
  <c r="B132" i="81"/>
  <c r="C72" i="74"/>
  <c r="C73" i="74" s="1"/>
  <c r="C74" i="74" s="1"/>
  <c r="C79" i="74" s="1"/>
  <c r="C83" i="74" s="1"/>
  <c r="C49" i="74"/>
  <c r="C50" i="74" s="1"/>
  <c r="C51" i="75"/>
  <c r="C56" i="75" s="1"/>
  <c r="C61" i="75" s="1"/>
  <c r="C65" i="75" s="1"/>
  <c r="C72" i="72"/>
  <c r="C73" i="72" s="1"/>
  <c r="C74" i="72" s="1"/>
  <c r="C79" i="72" s="1"/>
  <c r="C83" i="72" s="1"/>
  <c r="C49" i="72"/>
  <c r="C50" i="72" s="1"/>
  <c r="C49" i="78"/>
  <c r="C50" i="78" s="1"/>
  <c r="C72" i="78"/>
  <c r="C73" i="78" s="1"/>
  <c r="C74" i="78" s="1"/>
  <c r="C79" i="78" s="1"/>
  <c r="C83" i="78" s="1"/>
  <c r="C72" i="80"/>
  <c r="C73" i="80" s="1"/>
  <c r="C74" i="80" s="1"/>
  <c r="C79" i="80" s="1"/>
  <c r="C83" i="80" s="1"/>
  <c r="C49" i="80"/>
  <c r="C50" i="80" s="1"/>
  <c r="C72" i="71"/>
  <c r="C73" i="71" s="1"/>
  <c r="C49" i="71"/>
  <c r="C50" i="71" s="1"/>
  <c r="C60" i="71" s="1"/>
  <c r="B149" i="71"/>
  <c r="B150" i="71" s="1"/>
  <c r="C49" i="70"/>
  <c r="C50" i="70" s="1"/>
  <c r="C72" i="70"/>
  <c r="C73" i="70" s="1"/>
  <c r="C74" i="70" s="1"/>
  <c r="C79" i="70" s="1"/>
  <c r="C83" i="70" s="1"/>
  <c r="G174" i="66"/>
  <c r="M20" i="66"/>
  <c r="G178" i="66" s="1"/>
  <c r="G174" i="65"/>
  <c r="B134" i="65"/>
  <c r="V128" i="65"/>
  <c r="V129" i="65" s="1"/>
  <c r="R132" i="67"/>
  <c r="R133" i="67" s="1"/>
  <c r="V128" i="67"/>
  <c r="V129" i="67" s="1"/>
  <c r="R135" i="70"/>
  <c r="V131" i="70"/>
  <c r="V133" i="70" s="1"/>
  <c r="M19" i="67"/>
  <c r="G174" i="67" s="1"/>
  <c r="M20" i="67"/>
  <c r="G178" i="67" s="1"/>
  <c r="R134" i="70"/>
  <c r="V130" i="70"/>
  <c r="B158" i="81"/>
  <c r="S157" i="81"/>
  <c r="S158" i="81" s="1"/>
  <c r="AE184" i="74"/>
  <c r="T193" i="74"/>
  <c r="T194" i="74" s="1"/>
  <c r="R196" i="74" s="1"/>
  <c r="R197" i="74" s="1"/>
  <c r="V199" i="74"/>
  <c r="R198" i="74" s="1"/>
  <c r="R176" i="74"/>
  <c r="H34" i="74" s="1"/>
  <c r="R210" i="74"/>
  <c r="H37" i="74" s="1"/>
  <c r="V126" i="74"/>
  <c r="V132" i="74" s="1"/>
  <c r="V133" i="74" s="1"/>
  <c r="AE206" i="74"/>
  <c r="R135" i="72"/>
  <c r="V131" i="72"/>
  <c r="R134" i="72"/>
  <c r="V130" i="72"/>
  <c r="R136" i="78"/>
  <c r="B146" i="78"/>
  <c r="B149" i="78"/>
  <c r="B150" i="78" s="1"/>
  <c r="M148" i="78"/>
  <c r="M149" i="78" s="1"/>
  <c r="M150" i="78" s="1"/>
  <c r="M105" i="78"/>
  <c r="B102" i="78" s="1"/>
  <c r="B103" i="78" s="1"/>
  <c r="B95" i="78"/>
  <c r="C33" i="78" s="1"/>
  <c r="V137" i="80"/>
  <c r="M35" i="71"/>
  <c r="K37" i="71" s="1"/>
  <c r="B106" i="71"/>
  <c r="C34" i="71" s="1"/>
  <c r="B146" i="71"/>
  <c r="R134" i="71"/>
  <c r="V130" i="71"/>
  <c r="V126" i="71"/>
  <c r="V132" i="71" s="1"/>
  <c r="R135" i="71"/>
  <c r="R137" i="71" s="1"/>
  <c r="V131" i="71"/>
  <c r="R188" i="69"/>
  <c r="H35" i="69" s="1"/>
  <c r="R210" i="70"/>
  <c r="H37" i="70" s="1"/>
  <c r="AE206" i="70"/>
  <c r="T171" i="70"/>
  <c r="R173" i="70" s="1"/>
  <c r="R174" i="70" s="1"/>
  <c r="T181" i="66"/>
  <c r="T181" i="65"/>
  <c r="C181" i="69"/>
  <c r="F181" i="69" s="1"/>
  <c r="G177" i="68"/>
  <c r="B179" i="68" s="1"/>
  <c r="C52" i="68"/>
  <c r="M161" i="78"/>
  <c r="M162" i="78" s="1"/>
  <c r="V199" i="70"/>
  <c r="R198" i="70" s="1"/>
  <c r="AE206" i="69"/>
  <c r="C54" i="69"/>
  <c r="X137" i="78"/>
  <c r="V141" i="75"/>
  <c r="M158" i="81"/>
  <c r="C47" i="81"/>
  <c r="AE184" i="69"/>
  <c r="O67" i="71"/>
  <c r="R135" i="78"/>
  <c r="M35" i="74"/>
  <c r="K37" i="74" s="1"/>
  <c r="K128" i="72"/>
  <c r="R176" i="71"/>
  <c r="H34" i="71" s="1"/>
  <c r="AE172" i="71"/>
  <c r="K128" i="71"/>
  <c r="E111" i="78"/>
  <c r="M158" i="78"/>
  <c r="D131" i="78"/>
  <c r="F131" i="78" s="1"/>
  <c r="M163" i="75"/>
  <c r="M150" i="75"/>
  <c r="R188" i="70"/>
  <c r="H35" i="70" s="1"/>
  <c r="M10" i="67"/>
  <c r="B162" i="74"/>
  <c r="B163" i="74" s="1"/>
  <c r="R188" i="74"/>
  <c r="H35" i="74" s="1"/>
  <c r="B131" i="77"/>
  <c r="M157" i="77"/>
  <c r="M160" i="77" s="1"/>
  <c r="M144" i="77"/>
  <c r="M147" i="77" s="1"/>
  <c r="B137" i="72"/>
  <c r="B138" i="72" s="1"/>
  <c r="B145" i="79"/>
  <c r="B148" i="79" s="1"/>
  <c r="M157" i="79"/>
  <c r="M160" i="79" s="1"/>
  <c r="M144" i="79"/>
  <c r="M147" i="79" s="1"/>
  <c r="B158" i="79"/>
  <c r="B161" i="79" s="1"/>
  <c r="M35" i="70"/>
  <c r="K37" i="70" s="1"/>
  <c r="B137" i="71"/>
  <c r="O135" i="71" s="1"/>
  <c r="B162" i="71"/>
  <c r="B163" i="71" s="1"/>
  <c r="B159" i="71"/>
  <c r="D159" i="71" s="1"/>
  <c r="B162" i="78"/>
  <c r="B163" i="78" s="1"/>
  <c r="B136" i="81"/>
  <c r="B135" i="81"/>
  <c r="B131" i="81"/>
  <c r="B137" i="81" s="1"/>
  <c r="B91" i="81"/>
  <c r="B92" i="81" s="1"/>
  <c r="B93" i="81" s="1"/>
  <c r="M109" i="81"/>
  <c r="M86" i="81"/>
  <c r="E89" i="81" s="1"/>
  <c r="B94" i="81" s="1"/>
  <c r="K40" i="81"/>
  <c r="X36" i="81"/>
  <c r="R199" i="81"/>
  <c r="H36" i="81" s="1"/>
  <c r="AE195" i="81"/>
  <c r="R176" i="81"/>
  <c r="H34" i="81" s="1"/>
  <c r="AE172" i="81"/>
  <c r="E89" i="80"/>
  <c r="E111" i="80"/>
  <c r="B116" i="80" s="1"/>
  <c r="M116" i="80"/>
  <c r="B113" i="80" s="1"/>
  <c r="B114" i="80" s="1"/>
  <c r="B115" i="80" s="1"/>
  <c r="M105" i="80"/>
  <c r="B102" i="80" s="1"/>
  <c r="B103" i="80" s="1"/>
  <c r="B104" i="80" s="1"/>
  <c r="E100" i="80"/>
  <c r="B105" i="80" s="1"/>
  <c r="X134" i="80"/>
  <c r="R134" i="80"/>
  <c r="M158" i="80"/>
  <c r="M161" i="80"/>
  <c r="M162" i="80" s="1"/>
  <c r="B159" i="80"/>
  <c r="B162" i="80"/>
  <c r="B163" i="80" s="1"/>
  <c r="X135" i="80"/>
  <c r="X137" i="80" s="1"/>
  <c r="R135" i="80"/>
  <c r="R199" i="80"/>
  <c r="H36" i="80" s="1"/>
  <c r="AE195" i="80"/>
  <c r="AE172" i="80"/>
  <c r="R176" i="80"/>
  <c r="H34" i="80" s="1"/>
  <c r="C64" i="80"/>
  <c r="O67" i="80"/>
  <c r="O80" i="80"/>
  <c r="C82" i="80"/>
  <c r="E82" i="80" s="1"/>
  <c r="K128" i="80"/>
  <c r="R136" i="80"/>
  <c r="B146" i="80"/>
  <c r="B149" i="80"/>
  <c r="B150" i="80" s="1"/>
  <c r="M145" i="80"/>
  <c r="M148" i="80"/>
  <c r="M149" i="80" s="1"/>
  <c r="D131" i="80"/>
  <c r="F131" i="80" s="1"/>
  <c r="B137" i="80"/>
  <c r="K40" i="80"/>
  <c r="X36" i="80"/>
  <c r="X130" i="79"/>
  <c r="X136" i="79" s="1"/>
  <c r="R130" i="79"/>
  <c r="V130" i="79"/>
  <c r="V136" i="79" s="1"/>
  <c r="B131" i="79"/>
  <c r="C47" i="79"/>
  <c r="V134" i="79"/>
  <c r="B135" i="79"/>
  <c r="B136" i="79"/>
  <c r="M109" i="79"/>
  <c r="B91" i="79"/>
  <c r="B92" i="79" s="1"/>
  <c r="B93" i="79" s="1"/>
  <c r="M67" i="79"/>
  <c r="M80" i="79"/>
  <c r="V135" i="79"/>
  <c r="M98" i="79"/>
  <c r="M86" i="79"/>
  <c r="R199" i="79"/>
  <c r="H36" i="79" s="1"/>
  <c r="AE195" i="79"/>
  <c r="AE172" i="79"/>
  <c r="R176" i="79"/>
  <c r="H34" i="79" s="1"/>
  <c r="K40" i="79"/>
  <c r="X36" i="79"/>
  <c r="B137" i="78"/>
  <c r="B138" i="78" s="1"/>
  <c r="O80" i="78"/>
  <c r="C64" i="78"/>
  <c r="O67" i="78"/>
  <c r="B159" i="78"/>
  <c r="D159" i="78" s="1"/>
  <c r="R199" i="78"/>
  <c r="H36" i="78" s="1"/>
  <c r="AE195" i="78"/>
  <c r="D146" i="78"/>
  <c r="AE172" i="78"/>
  <c r="R176" i="78"/>
  <c r="H34" i="78" s="1"/>
  <c r="K40" i="78"/>
  <c r="X36" i="78"/>
  <c r="M145" i="74"/>
  <c r="M148" i="74"/>
  <c r="M149" i="74" s="1"/>
  <c r="M158" i="74"/>
  <c r="M161" i="74"/>
  <c r="M162" i="74" s="1"/>
  <c r="B158" i="77"/>
  <c r="B161" i="77" s="1"/>
  <c r="B145" i="77"/>
  <c r="B148" i="77" s="1"/>
  <c r="M98" i="77"/>
  <c r="B136" i="77"/>
  <c r="V131" i="77" s="1"/>
  <c r="B91" i="77"/>
  <c r="B92" i="77" s="1"/>
  <c r="B93" i="77" s="1"/>
  <c r="R130" i="77"/>
  <c r="M109" i="77"/>
  <c r="M86" i="77"/>
  <c r="B135" i="77"/>
  <c r="V130" i="77" s="1"/>
  <c r="M80" i="77"/>
  <c r="M67" i="77"/>
  <c r="R199" i="77"/>
  <c r="H36" i="77" s="1"/>
  <c r="AE195" i="77"/>
  <c r="AE172" i="77"/>
  <c r="R176" i="77"/>
  <c r="H34" i="77" s="1"/>
  <c r="K40" i="77"/>
  <c r="X36" i="77"/>
  <c r="R135" i="74"/>
  <c r="R134" i="74"/>
  <c r="M109" i="74"/>
  <c r="E111" i="74" s="1"/>
  <c r="K137" i="75"/>
  <c r="K138" i="75" s="1"/>
  <c r="K139" i="75" s="1"/>
  <c r="R137" i="75"/>
  <c r="B138" i="75"/>
  <c r="O135" i="75"/>
  <c r="B164" i="75"/>
  <c r="B165" i="75" s="1"/>
  <c r="D159" i="75"/>
  <c r="K40" i="75"/>
  <c r="X36" i="75"/>
  <c r="B151" i="75"/>
  <c r="B152" i="75" s="1"/>
  <c r="D146" i="75"/>
  <c r="R199" i="75"/>
  <c r="H36" i="75" s="1"/>
  <c r="AE195" i="75"/>
  <c r="AE172" i="75"/>
  <c r="R176" i="75"/>
  <c r="H34" i="75" s="1"/>
  <c r="K128" i="74"/>
  <c r="E89" i="74"/>
  <c r="E100" i="74"/>
  <c r="D131" i="74"/>
  <c r="F131" i="74" s="1"/>
  <c r="R136" i="74"/>
  <c r="O67" i="74"/>
  <c r="C64" i="74"/>
  <c r="E64" i="74" s="1"/>
  <c r="C82" i="74"/>
  <c r="E82" i="74" s="1"/>
  <c r="O80" i="74"/>
  <c r="B159" i="74"/>
  <c r="B146" i="74"/>
  <c r="B149" i="74"/>
  <c r="B150" i="74" s="1"/>
  <c r="B137" i="74"/>
  <c r="E89" i="72"/>
  <c r="E100" i="72"/>
  <c r="B105" i="72" s="1"/>
  <c r="B106" i="72" s="1"/>
  <c r="B159" i="72"/>
  <c r="B162" i="72"/>
  <c r="B163" i="72" s="1"/>
  <c r="R188" i="72"/>
  <c r="H35" i="72" s="1"/>
  <c r="AE184" i="72"/>
  <c r="B146" i="72"/>
  <c r="B149" i="72"/>
  <c r="B150" i="72" s="1"/>
  <c r="D131" i="72"/>
  <c r="F131" i="72" s="1"/>
  <c r="R136" i="72"/>
  <c r="O67" i="72"/>
  <c r="C64" i="72"/>
  <c r="C82" i="72"/>
  <c r="E82" i="72" s="1"/>
  <c r="O80" i="72"/>
  <c r="M35" i="72"/>
  <c r="K37" i="72" s="1"/>
  <c r="K38" i="72" s="1"/>
  <c r="T171" i="72"/>
  <c r="R173" i="72" s="1"/>
  <c r="R174" i="72" s="1"/>
  <c r="V199" i="72"/>
  <c r="R198" i="72" s="1"/>
  <c r="T193" i="72"/>
  <c r="T194" i="72" s="1"/>
  <c r="R196" i="72" s="1"/>
  <c r="R197" i="72" s="1"/>
  <c r="R210" i="72"/>
  <c r="H37" i="72" s="1"/>
  <c r="AE206" i="72"/>
  <c r="AE184" i="71"/>
  <c r="E89" i="71"/>
  <c r="E82" i="71"/>
  <c r="E64" i="71"/>
  <c r="F31" i="71"/>
  <c r="D131" i="71"/>
  <c r="F131" i="71" s="1"/>
  <c r="O80" i="71"/>
  <c r="Q26" i="68"/>
  <c r="S26" i="68" s="1"/>
  <c r="M58" i="68"/>
  <c r="M60" i="68" s="1"/>
  <c r="C62" i="68" s="1"/>
  <c r="M9" i="67"/>
  <c r="B134" i="67"/>
  <c r="C55" i="68"/>
  <c r="AE184" i="70"/>
  <c r="E111" i="70"/>
  <c r="E89" i="70"/>
  <c r="E100" i="70"/>
  <c r="C82" i="70"/>
  <c r="E82" i="70" s="1"/>
  <c r="O80" i="70"/>
  <c r="D131" i="70"/>
  <c r="F131" i="70" s="1"/>
  <c r="B159" i="70"/>
  <c r="B162" i="70"/>
  <c r="B163" i="70" s="1"/>
  <c r="O67" i="70"/>
  <c r="E64" i="70"/>
  <c r="F31" i="70"/>
  <c r="R176" i="70"/>
  <c r="H34" i="70" s="1"/>
  <c r="AE172" i="70"/>
  <c r="K128" i="70"/>
  <c r="R136" i="70"/>
  <c r="C47" i="69"/>
  <c r="B102" i="69"/>
  <c r="T171" i="69"/>
  <c r="R173" i="69" s="1"/>
  <c r="R174" i="69" s="1"/>
  <c r="V199" i="69"/>
  <c r="R198" i="69" s="1"/>
  <c r="T193" i="69"/>
  <c r="T194" i="69" s="1"/>
  <c r="R196" i="69" s="1"/>
  <c r="R197" i="69" s="1"/>
  <c r="C77" i="69"/>
  <c r="B91" i="69"/>
  <c r="B92" i="69" s="1"/>
  <c r="B93" i="69" s="1"/>
  <c r="K40" i="69"/>
  <c r="C80" i="69"/>
  <c r="M78" i="69"/>
  <c r="M79" i="69" s="1"/>
  <c r="C81" i="69" s="1"/>
  <c r="M86" i="69"/>
  <c r="B135" i="69"/>
  <c r="B129" i="69"/>
  <c r="M67" i="69"/>
  <c r="M65" i="69"/>
  <c r="M66" i="69" s="1"/>
  <c r="C63" i="69" s="1"/>
  <c r="C62" i="69"/>
  <c r="B136" i="69"/>
  <c r="M109" i="69"/>
  <c r="E111" i="69" s="1"/>
  <c r="B116" i="69" s="1"/>
  <c r="M98" i="69"/>
  <c r="E100" i="69" s="1"/>
  <c r="B105" i="69" s="1"/>
  <c r="R130" i="69"/>
  <c r="B145" i="69"/>
  <c r="B148" i="69" s="1"/>
  <c r="M80" i="69"/>
  <c r="B131" i="69"/>
  <c r="B158" i="69"/>
  <c r="B161" i="69" s="1"/>
  <c r="B170" i="69"/>
  <c r="C58" i="68"/>
  <c r="C59" i="68" s="1"/>
  <c r="B128" i="68"/>
  <c r="B88" i="68"/>
  <c r="B99" i="68"/>
  <c r="B110" i="68" s="1"/>
  <c r="C75" i="68"/>
  <c r="U27" i="68"/>
  <c r="U26" i="68" s="1"/>
  <c r="F20" i="68" s="1"/>
  <c r="C78" i="68"/>
  <c r="M71" i="68"/>
  <c r="M73" i="68" s="1"/>
  <c r="G173" i="68"/>
  <c r="B175" i="68" s="1"/>
  <c r="C76" i="68"/>
  <c r="C53" i="68"/>
  <c r="T191" i="68"/>
  <c r="T192" i="68" s="1"/>
  <c r="T202" i="68"/>
  <c r="T203" i="68" s="1"/>
  <c r="T204" i="68" s="1"/>
  <c r="R209" i="68" s="1"/>
  <c r="T179" i="68"/>
  <c r="R187" i="68" s="1"/>
  <c r="T168" i="68"/>
  <c r="M32" i="68"/>
  <c r="O89" i="67"/>
  <c r="O112" i="67"/>
  <c r="C23" i="67"/>
  <c r="M104" i="67" s="1"/>
  <c r="Q27" i="67"/>
  <c r="S27" i="67" s="1"/>
  <c r="F21" i="67" s="1"/>
  <c r="O100" i="67"/>
  <c r="R132" i="65"/>
  <c r="R133" i="65" s="1"/>
  <c r="M14" i="66"/>
  <c r="G178" i="65"/>
  <c r="M10" i="65"/>
  <c r="M14" i="65"/>
  <c r="M10" i="66"/>
  <c r="O111" i="67"/>
  <c r="B88" i="67"/>
  <c r="B128" i="67"/>
  <c r="B99" i="67"/>
  <c r="B110" i="67" s="1"/>
  <c r="O92" i="67"/>
  <c r="B144" i="67"/>
  <c r="M11" i="67"/>
  <c r="M12" i="67"/>
  <c r="M13" i="67"/>
  <c r="N14" i="67"/>
  <c r="C22" i="67"/>
  <c r="L22" i="67"/>
  <c r="C27" i="67"/>
  <c r="O99" i="67"/>
  <c r="O110" i="67"/>
  <c r="O114" i="67"/>
  <c r="B157" i="67"/>
  <c r="C26" i="67"/>
  <c r="C48" i="67"/>
  <c r="C71" i="67"/>
  <c r="M72" i="67"/>
  <c r="O88" i="67"/>
  <c r="O91" i="67"/>
  <c r="T181" i="67"/>
  <c r="C28" i="67"/>
  <c r="O87" i="67"/>
  <c r="C27" i="66"/>
  <c r="C22" i="66"/>
  <c r="C23" i="66"/>
  <c r="O89" i="66"/>
  <c r="O111" i="66"/>
  <c r="O100" i="66"/>
  <c r="O90" i="66"/>
  <c r="P22" i="66"/>
  <c r="N9" i="66"/>
  <c r="N11" i="66"/>
  <c r="N12" i="66"/>
  <c r="N13" i="66"/>
  <c r="C26" i="66"/>
  <c r="C28" i="66"/>
  <c r="C48" i="66"/>
  <c r="C71" i="66"/>
  <c r="B87" i="66"/>
  <c r="O87" i="66"/>
  <c r="O88" i="66"/>
  <c r="O91" i="66"/>
  <c r="B144" i="66"/>
  <c r="B157" i="66"/>
  <c r="L22" i="66"/>
  <c r="O99" i="66"/>
  <c r="O101" i="66"/>
  <c r="O110" i="66"/>
  <c r="M59" i="65"/>
  <c r="O88" i="65"/>
  <c r="O90" i="65"/>
  <c r="O100" i="65"/>
  <c r="O111" i="65"/>
  <c r="O87" i="65"/>
  <c r="O89" i="65"/>
  <c r="O99" i="65"/>
  <c r="O110" i="65"/>
  <c r="P22" i="65"/>
  <c r="B157" i="65"/>
  <c r="N9" i="65"/>
  <c r="N11" i="65"/>
  <c r="N12" i="65"/>
  <c r="N13" i="65"/>
  <c r="C48" i="65"/>
  <c r="O112" i="65"/>
  <c r="C71" i="65"/>
  <c r="B87" i="65"/>
  <c r="B144" i="65"/>
  <c r="R206" i="64"/>
  <c r="R195" i="64"/>
  <c r="R184" i="64"/>
  <c r="B177" i="64"/>
  <c r="R172" i="64"/>
  <c r="B173" i="64"/>
  <c r="B112" i="64"/>
  <c r="B101" i="64"/>
  <c r="O101" i="64" s="1"/>
  <c r="B90" i="64"/>
  <c r="O91" i="64" s="1"/>
  <c r="K36" i="64"/>
  <c r="M29" i="64"/>
  <c r="L27" i="64"/>
  <c r="M72" i="64"/>
  <c r="C64" i="64"/>
  <c r="C20" i="64"/>
  <c r="N17" i="64"/>
  <c r="M17" i="64"/>
  <c r="N16" i="64"/>
  <c r="M20" i="64" s="1"/>
  <c r="M16" i="64"/>
  <c r="N15" i="64"/>
  <c r="M15" i="64"/>
  <c r="L14" i="64"/>
  <c r="N14" i="64" s="1"/>
  <c r="L13" i="64"/>
  <c r="N13" i="64" s="1"/>
  <c r="L12" i="64"/>
  <c r="N12" i="64" s="1"/>
  <c r="M19" i="64" s="1"/>
  <c r="L11" i="64"/>
  <c r="N11" i="64" s="1"/>
  <c r="L10" i="64"/>
  <c r="N10" i="64" s="1"/>
  <c r="L9" i="64"/>
  <c r="N9" i="64" s="1"/>
  <c r="B105" i="74" l="1"/>
  <c r="B106" i="74" s="1"/>
  <c r="C34" i="74" s="1"/>
  <c r="V134" i="74"/>
  <c r="V135" i="74" s="1"/>
  <c r="B94" i="74"/>
  <c r="B95" i="74" s="1"/>
  <c r="C33" i="74" s="1"/>
  <c r="B116" i="74"/>
  <c r="B117" i="74" s="1"/>
  <c r="C35" i="74" s="1"/>
  <c r="K38" i="74"/>
  <c r="K40" i="74" s="1"/>
  <c r="M151" i="75"/>
  <c r="M152" i="75" s="1"/>
  <c r="R138" i="75"/>
  <c r="R139" i="75" s="1"/>
  <c r="M164" i="75"/>
  <c r="M165" i="75" s="1"/>
  <c r="B139" i="75"/>
  <c r="B140" i="75" s="1"/>
  <c r="C36" i="75" s="1"/>
  <c r="V133" i="72"/>
  <c r="V134" i="72" s="1"/>
  <c r="V135" i="72" s="1"/>
  <c r="B139" i="72"/>
  <c r="B140" i="72" s="1"/>
  <c r="O135" i="72"/>
  <c r="B94" i="72"/>
  <c r="B95" i="72" s="1"/>
  <c r="C33" i="72" s="1"/>
  <c r="C34" i="72"/>
  <c r="B139" i="78"/>
  <c r="B140" i="78" s="1"/>
  <c r="M130" i="78" s="1"/>
  <c r="R137" i="78"/>
  <c r="M151" i="78"/>
  <c r="M152" i="78" s="1"/>
  <c r="B151" i="78"/>
  <c r="B152" i="78" s="1"/>
  <c r="B153" i="78" s="1"/>
  <c r="B116" i="78"/>
  <c r="B117" i="78" s="1"/>
  <c r="C35" i="78" s="1"/>
  <c r="X138" i="78"/>
  <c r="X139" i="78" s="1"/>
  <c r="B104" i="78"/>
  <c r="B106" i="78" s="1"/>
  <c r="C34" i="78" s="1"/>
  <c r="B94" i="80"/>
  <c r="B95" i="80" s="1"/>
  <c r="C33" i="80" s="1"/>
  <c r="V138" i="80"/>
  <c r="V139" i="80" s="1"/>
  <c r="X138" i="80"/>
  <c r="X139" i="80" s="1"/>
  <c r="B151" i="71"/>
  <c r="B152" i="71" s="1"/>
  <c r="X36" i="71"/>
  <c r="AE195" i="71"/>
  <c r="R138" i="71"/>
  <c r="R139" i="71" s="1"/>
  <c r="K38" i="71"/>
  <c r="K40" i="71" s="1"/>
  <c r="B94" i="71"/>
  <c r="B95" i="71" s="1"/>
  <c r="C33" i="71" s="1"/>
  <c r="V134" i="70"/>
  <c r="V135" i="70" s="1"/>
  <c r="B116" i="70"/>
  <c r="B117" i="70" s="1"/>
  <c r="C35" i="70" s="1"/>
  <c r="B94" i="70"/>
  <c r="B95" i="70" s="1"/>
  <c r="C33" i="70" s="1"/>
  <c r="K38" i="70"/>
  <c r="K40" i="70" s="1"/>
  <c r="B105" i="70"/>
  <c r="B106" i="70" s="1"/>
  <c r="C34" i="70" s="1"/>
  <c r="C41" i="68"/>
  <c r="M115" i="67"/>
  <c r="C41" i="66"/>
  <c r="C42" i="66" s="1"/>
  <c r="C43" i="66" s="1"/>
  <c r="M58" i="65"/>
  <c r="C41" i="65"/>
  <c r="B161" i="81"/>
  <c r="B162" i="81" s="1"/>
  <c r="B163" i="81" s="1"/>
  <c r="C60" i="80"/>
  <c r="C51" i="80"/>
  <c r="C56" i="80" s="1"/>
  <c r="C74" i="71"/>
  <c r="C79" i="71" s="1"/>
  <c r="C83" i="71" s="1"/>
  <c r="AE172" i="74"/>
  <c r="C60" i="74"/>
  <c r="C51" i="74"/>
  <c r="C56" i="74" s="1"/>
  <c r="R199" i="74"/>
  <c r="H36" i="74" s="1"/>
  <c r="C49" i="79"/>
  <c r="C50" i="79" s="1"/>
  <c r="C60" i="79" s="1"/>
  <c r="C72" i="79"/>
  <c r="C73" i="79" s="1"/>
  <c r="C74" i="79" s="1"/>
  <c r="C79" i="79" s="1"/>
  <c r="C83" i="79" s="1"/>
  <c r="C60" i="72"/>
  <c r="C51" i="72"/>
  <c r="C56" i="72" s="1"/>
  <c r="C60" i="78"/>
  <c r="C51" i="78"/>
  <c r="C56" i="78" s="1"/>
  <c r="C49" i="77"/>
  <c r="C50" i="77" s="1"/>
  <c r="D146" i="71"/>
  <c r="C51" i="71"/>
  <c r="C56" i="71" s="1"/>
  <c r="C61" i="71" s="1"/>
  <c r="C65" i="71" s="1"/>
  <c r="C72" i="69"/>
  <c r="C73" i="69" s="1"/>
  <c r="C74" i="69" s="1"/>
  <c r="C79" i="69" s="1"/>
  <c r="C83" i="69" s="1"/>
  <c r="C49" i="69"/>
  <c r="C50" i="69" s="1"/>
  <c r="C51" i="70"/>
  <c r="C56" i="70" s="1"/>
  <c r="C60" i="70"/>
  <c r="C61" i="70" s="1"/>
  <c r="C65" i="70" s="1"/>
  <c r="C49" i="81"/>
  <c r="C50" i="81" s="1"/>
  <c r="C51" i="81" s="1"/>
  <c r="C56" i="81" s="1"/>
  <c r="C60" i="81" s="1"/>
  <c r="G174" i="64"/>
  <c r="G178" i="64"/>
  <c r="V128" i="64"/>
  <c r="V129" i="64" s="1"/>
  <c r="M10" i="64"/>
  <c r="M159" i="81"/>
  <c r="X36" i="74"/>
  <c r="AE195" i="74"/>
  <c r="C36" i="78"/>
  <c r="M163" i="78"/>
  <c r="V126" i="77"/>
  <c r="V132" i="77" s="1"/>
  <c r="V133" i="77" s="1"/>
  <c r="V133" i="71"/>
  <c r="R135" i="69"/>
  <c r="V131" i="69"/>
  <c r="B137" i="69"/>
  <c r="B138" i="69" s="1"/>
  <c r="V126" i="69"/>
  <c r="V132" i="69" s="1"/>
  <c r="R134" i="69"/>
  <c r="V130" i="69"/>
  <c r="X36" i="70"/>
  <c r="R199" i="70"/>
  <c r="H36" i="70" s="1"/>
  <c r="M163" i="74"/>
  <c r="C54" i="68"/>
  <c r="M65" i="68"/>
  <c r="M66" i="68" s="1"/>
  <c r="C63" i="68" s="1"/>
  <c r="B138" i="71"/>
  <c r="K137" i="71"/>
  <c r="K138" i="71" s="1"/>
  <c r="K139" i="71" s="1"/>
  <c r="K137" i="78"/>
  <c r="K138" i="78" s="1"/>
  <c r="K139" i="78" s="1"/>
  <c r="B164" i="78"/>
  <c r="D131" i="81"/>
  <c r="F131" i="81" s="1"/>
  <c r="O135" i="78"/>
  <c r="B164" i="71"/>
  <c r="B162" i="77"/>
  <c r="B163" i="77" s="1"/>
  <c r="M148" i="77"/>
  <c r="M149" i="77" s="1"/>
  <c r="M145" i="77"/>
  <c r="R132" i="64"/>
  <c r="R133" i="64" s="1"/>
  <c r="M60" i="65"/>
  <c r="M65" i="65" s="1"/>
  <c r="M66" i="65" s="1"/>
  <c r="C63" i="65" s="1"/>
  <c r="M158" i="77"/>
  <c r="M161" i="77"/>
  <c r="M162" i="77" s="1"/>
  <c r="B159" i="81"/>
  <c r="D159" i="81" s="1"/>
  <c r="B95" i="81"/>
  <c r="C33" i="81" s="1"/>
  <c r="E111" i="81"/>
  <c r="B116" i="81" s="1"/>
  <c r="M116" i="81"/>
  <c r="B138" i="81"/>
  <c r="O135" i="81"/>
  <c r="B151" i="80"/>
  <c r="B152" i="80" s="1"/>
  <c r="D146" i="80"/>
  <c r="K137" i="80"/>
  <c r="K138" i="80" s="1"/>
  <c r="K139" i="80" s="1"/>
  <c r="R137" i="80"/>
  <c r="F31" i="80"/>
  <c r="E64" i="80"/>
  <c r="B106" i="80"/>
  <c r="C34" i="80" s="1"/>
  <c r="B117" i="80"/>
  <c r="C35" i="80" s="1"/>
  <c r="M150" i="80"/>
  <c r="M163" i="80"/>
  <c r="B138" i="80"/>
  <c r="O135" i="80"/>
  <c r="B164" i="80"/>
  <c r="B165" i="80" s="1"/>
  <c r="D159" i="80"/>
  <c r="B149" i="79"/>
  <c r="B150" i="79" s="1"/>
  <c r="B146" i="79"/>
  <c r="M148" i="79"/>
  <c r="M149" i="79" s="1"/>
  <c r="M145" i="79"/>
  <c r="R135" i="79"/>
  <c r="X135" i="79"/>
  <c r="X137" i="79" s="1"/>
  <c r="K128" i="79"/>
  <c r="R136" i="79"/>
  <c r="E89" i="79"/>
  <c r="E100" i="79"/>
  <c r="B105" i="79" s="1"/>
  <c r="M105" i="79"/>
  <c r="B102" i="79" s="1"/>
  <c r="B103" i="79" s="1"/>
  <c r="B104" i="79" s="1"/>
  <c r="C82" i="79"/>
  <c r="E82" i="79" s="1"/>
  <c r="O80" i="79"/>
  <c r="C64" i="79"/>
  <c r="O67" i="79"/>
  <c r="M161" i="79"/>
  <c r="M162" i="79" s="1"/>
  <c r="M158" i="79"/>
  <c r="E111" i="79"/>
  <c r="B116" i="79" s="1"/>
  <c r="M116" i="79"/>
  <c r="B113" i="79" s="1"/>
  <c r="B114" i="79" s="1"/>
  <c r="B115" i="79" s="1"/>
  <c r="X134" i="79"/>
  <c r="R134" i="79"/>
  <c r="D131" i="79"/>
  <c r="F131" i="79" s="1"/>
  <c r="B137" i="79"/>
  <c r="B162" i="79"/>
  <c r="B163" i="79" s="1"/>
  <c r="B159" i="79"/>
  <c r="V137" i="79"/>
  <c r="F31" i="78"/>
  <c r="E64" i="78"/>
  <c r="M150" i="74"/>
  <c r="R134" i="77"/>
  <c r="R135" i="77"/>
  <c r="M116" i="77"/>
  <c r="B113" i="77" s="1"/>
  <c r="B114" i="77" s="1"/>
  <c r="B115" i="77" s="1"/>
  <c r="E111" i="77"/>
  <c r="B116" i="77" s="1"/>
  <c r="E100" i="77"/>
  <c r="B105" i="77" s="1"/>
  <c r="M105" i="77"/>
  <c r="B102" i="77" s="1"/>
  <c r="B103" i="77" s="1"/>
  <c r="B104" i="77" s="1"/>
  <c r="E89" i="77"/>
  <c r="O80" i="77"/>
  <c r="E82" i="77"/>
  <c r="D131" i="77"/>
  <c r="F131" i="77" s="1"/>
  <c r="B137" i="77"/>
  <c r="B149" i="77"/>
  <c r="B150" i="77" s="1"/>
  <c r="B146" i="77"/>
  <c r="C64" i="77"/>
  <c r="O67" i="77"/>
  <c r="B159" i="77"/>
  <c r="R136" i="77"/>
  <c r="K128" i="77"/>
  <c r="V141" i="74"/>
  <c r="O156" i="75"/>
  <c r="B166" i="75"/>
  <c r="C38" i="75" s="1"/>
  <c r="O143" i="75"/>
  <c r="B153" i="75"/>
  <c r="C37" i="75" s="1"/>
  <c r="F31" i="74"/>
  <c r="B138" i="74"/>
  <c r="O135" i="74"/>
  <c r="B164" i="74"/>
  <c r="B165" i="74" s="1"/>
  <c r="D159" i="74"/>
  <c r="R137" i="74"/>
  <c r="K137" i="74"/>
  <c r="K138" i="74" s="1"/>
  <c r="K139" i="74" s="1"/>
  <c r="B151" i="74"/>
  <c r="B152" i="74" s="1"/>
  <c r="D146" i="74"/>
  <c r="X36" i="72"/>
  <c r="K40" i="72"/>
  <c r="B164" i="72"/>
  <c r="B165" i="72" s="1"/>
  <c r="D159" i="72"/>
  <c r="R137" i="72"/>
  <c r="K137" i="72"/>
  <c r="K138" i="72" s="1"/>
  <c r="K139" i="72" s="1"/>
  <c r="B151" i="72"/>
  <c r="B152" i="72" s="1"/>
  <c r="D146" i="72"/>
  <c r="R176" i="72"/>
  <c r="H34" i="72" s="1"/>
  <c r="AE172" i="72"/>
  <c r="F31" i="72"/>
  <c r="E64" i="72"/>
  <c r="R199" i="72"/>
  <c r="H36" i="72" s="1"/>
  <c r="AE195" i="72"/>
  <c r="O148" i="71"/>
  <c r="B153" i="71"/>
  <c r="C37" i="71" s="1"/>
  <c r="R137" i="70"/>
  <c r="K137" i="70"/>
  <c r="K138" i="70" s="1"/>
  <c r="K139" i="70" s="1"/>
  <c r="O135" i="70"/>
  <c r="D146" i="70"/>
  <c r="B164" i="70"/>
  <c r="B165" i="70" s="1"/>
  <c r="D159" i="70"/>
  <c r="K128" i="69"/>
  <c r="E89" i="69"/>
  <c r="AE195" i="69"/>
  <c r="R199" i="69"/>
  <c r="H36" i="69" s="1"/>
  <c r="R176" i="69"/>
  <c r="H34" i="69" s="1"/>
  <c r="AE172" i="69"/>
  <c r="C82" i="69"/>
  <c r="E82" i="69" s="1"/>
  <c r="O80" i="69"/>
  <c r="B103" i="69"/>
  <c r="B104" i="69" s="1"/>
  <c r="B159" i="69"/>
  <c r="B146" i="69"/>
  <c r="B114" i="69"/>
  <c r="B115" i="69" s="1"/>
  <c r="B162" i="69"/>
  <c r="B163" i="69" s="1"/>
  <c r="D131" i="69"/>
  <c r="F131" i="69" s="1"/>
  <c r="C64" i="69"/>
  <c r="E64" i="69" s="1"/>
  <c r="O67" i="69"/>
  <c r="R136" i="69"/>
  <c r="B149" i="69"/>
  <c r="B150" i="69" s="1"/>
  <c r="C42" i="68"/>
  <c r="C43" i="68" s="1"/>
  <c r="C181" i="68"/>
  <c r="F181" i="68" s="1"/>
  <c r="B170" i="68"/>
  <c r="T205" i="68"/>
  <c r="R207" i="68" s="1"/>
  <c r="R208" i="68" s="1"/>
  <c r="M33" i="68"/>
  <c r="M34" i="68"/>
  <c r="K39" i="68" s="1"/>
  <c r="T169" i="68"/>
  <c r="T182" i="68"/>
  <c r="T183" i="68" s="1"/>
  <c r="R185" i="68" s="1"/>
  <c r="R186" i="68" s="1"/>
  <c r="T170" i="68"/>
  <c r="R175" i="68" s="1"/>
  <c r="B129" i="68"/>
  <c r="T180" i="68"/>
  <c r="C80" i="68"/>
  <c r="M78" i="68"/>
  <c r="M79" i="68" s="1"/>
  <c r="C81" i="68" s="1"/>
  <c r="C77" i="68"/>
  <c r="U27" i="67"/>
  <c r="U26" i="67" s="1"/>
  <c r="F20" i="67" s="1"/>
  <c r="Q26" i="67"/>
  <c r="S26" i="67" s="1"/>
  <c r="M14" i="64"/>
  <c r="P22" i="64"/>
  <c r="B129" i="67"/>
  <c r="T202" i="67"/>
  <c r="T203" i="67" s="1"/>
  <c r="T204" i="67" s="1"/>
  <c r="R209" i="67" s="1"/>
  <c r="T179" i="67"/>
  <c r="R187" i="67" s="1"/>
  <c r="M32" i="67"/>
  <c r="T191" i="67"/>
  <c r="T192" i="67" s="1"/>
  <c r="T168" i="67"/>
  <c r="G173" i="67"/>
  <c r="B175" i="67" s="1"/>
  <c r="C78" i="67"/>
  <c r="M71" i="67"/>
  <c r="M73" i="67" s="1"/>
  <c r="C75" i="67"/>
  <c r="C76" i="67"/>
  <c r="G177" i="67"/>
  <c r="B179" i="67" s="1"/>
  <c r="C52" i="67"/>
  <c r="M58" i="67"/>
  <c r="M60" i="67" s="1"/>
  <c r="C58" i="67"/>
  <c r="C59" i="67" s="1"/>
  <c r="C53" i="67"/>
  <c r="C55" i="67"/>
  <c r="T202" i="66"/>
  <c r="T203" i="66" s="1"/>
  <c r="T204" i="66" s="1"/>
  <c r="R209" i="66" s="1"/>
  <c r="T179" i="66"/>
  <c r="R187" i="66" s="1"/>
  <c r="T191" i="66"/>
  <c r="T192" i="66" s="1"/>
  <c r="T168" i="66"/>
  <c r="M32" i="66"/>
  <c r="G173" i="66"/>
  <c r="B175" i="66" s="1"/>
  <c r="B170" i="66"/>
  <c r="C75" i="66"/>
  <c r="C78" i="66"/>
  <c r="C76" i="66"/>
  <c r="M71" i="66"/>
  <c r="M73" i="66" s="1"/>
  <c r="G177" i="66"/>
  <c r="B179" i="66" s="1"/>
  <c r="M58" i="66"/>
  <c r="M60" i="66" s="1"/>
  <c r="C58" i="66"/>
  <c r="C59" i="66" s="1"/>
  <c r="C55" i="66"/>
  <c r="C53" i="66"/>
  <c r="C52" i="66"/>
  <c r="B128" i="66"/>
  <c r="B99" i="66"/>
  <c r="B110" i="66" s="1"/>
  <c r="B88" i="66"/>
  <c r="C58" i="65"/>
  <c r="C59" i="65" s="1"/>
  <c r="C42" i="65"/>
  <c r="C43" i="65" s="1"/>
  <c r="B160" i="65" s="1"/>
  <c r="B128" i="65"/>
  <c r="B99" i="65"/>
  <c r="B110" i="65" s="1"/>
  <c r="B113" i="65" s="1"/>
  <c r="B114" i="65" s="1"/>
  <c r="B115" i="65" s="1"/>
  <c r="B88" i="65"/>
  <c r="G177" i="65"/>
  <c r="B179" i="65" s="1"/>
  <c r="C55" i="65"/>
  <c r="C53" i="65"/>
  <c r="C52" i="65"/>
  <c r="T202" i="65"/>
  <c r="T203" i="65" s="1"/>
  <c r="T204" i="65" s="1"/>
  <c r="R209" i="65" s="1"/>
  <c r="T179" i="65"/>
  <c r="R187" i="65" s="1"/>
  <c r="T168" i="65"/>
  <c r="T191" i="65"/>
  <c r="T192" i="65" s="1"/>
  <c r="M32" i="65"/>
  <c r="C78" i="65"/>
  <c r="C76" i="65"/>
  <c r="M71" i="65"/>
  <c r="M73" i="65" s="1"/>
  <c r="G173" i="65"/>
  <c r="B175" i="65" s="1"/>
  <c r="B170" i="65"/>
  <c r="C75" i="65"/>
  <c r="T181" i="64"/>
  <c r="O110" i="64"/>
  <c r="O99" i="64"/>
  <c r="O88" i="64"/>
  <c r="O100" i="64"/>
  <c r="O89" i="64"/>
  <c r="O87" i="64"/>
  <c r="B87" i="64"/>
  <c r="B99" i="64" s="1"/>
  <c r="B110" i="64" s="1"/>
  <c r="C71" i="64"/>
  <c r="C22" i="64"/>
  <c r="C23" i="64"/>
  <c r="M9" i="64"/>
  <c r="M11" i="64"/>
  <c r="M12" i="64"/>
  <c r="M13" i="64"/>
  <c r="L22" i="64"/>
  <c r="C27" i="64"/>
  <c r="C62" i="64"/>
  <c r="O112" i="64"/>
  <c r="B144" i="64"/>
  <c r="B157" i="64"/>
  <c r="C26" i="64"/>
  <c r="C28" i="64"/>
  <c r="C48" i="64"/>
  <c r="B90" i="63"/>
  <c r="O91" i="63" s="1"/>
  <c r="B133" i="63"/>
  <c r="F32" i="63"/>
  <c r="F31" i="63"/>
  <c r="M77" i="63"/>
  <c r="R206" i="63"/>
  <c r="R195" i="63"/>
  <c r="R184" i="63"/>
  <c r="B177" i="63"/>
  <c r="R172" i="63"/>
  <c r="B173" i="63"/>
  <c r="B112" i="63"/>
  <c r="O112" i="63" s="1"/>
  <c r="B101" i="63"/>
  <c r="K36" i="63"/>
  <c r="M29" i="63"/>
  <c r="L27" i="63"/>
  <c r="B87" i="63"/>
  <c r="M72" i="63"/>
  <c r="C20" i="63"/>
  <c r="N17" i="63"/>
  <c r="M17" i="63"/>
  <c r="N16" i="63"/>
  <c r="M16" i="63"/>
  <c r="N15" i="63"/>
  <c r="M15" i="63"/>
  <c r="L14" i="63"/>
  <c r="N14" i="63" s="1"/>
  <c r="L13" i="63"/>
  <c r="N13" i="63" s="1"/>
  <c r="L12" i="63"/>
  <c r="N12" i="63" s="1"/>
  <c r="L11" i="63"/>
  <c r="N11" i="63" s="1"/>
  <c r="L10" i="63"/>
  <c r="N10" i="63" s="1"/>
  <c r="L9" i="63"/>
  <c r="N9" i="63" s="1"/>
  <c r="M77" i="62"/>
  <c r="R206" i="62"/>
  <c r="R195" i="62"/>
  <c r="R184" i="62"/>
  <c r="B177" i="62"/>
  <c r="R172" i="62"/>
  <c r="B173" i="62"/>
  <c r="B133" i="62"/>
  <c r="B112" i="62"/>
  <c r="O112" i="62" s="1"/>
  <c r="B101" i="62"/>
  <c r="B90" i="62"/>
  <c r="O91" i="62" s="1"/>
  <c r="K36" i="62"/>
  <c r="M29" i="62"/>
  <c r="L27" i="62"/>
  <c r="P22" i="62"/>
  <c r="C20" i="62"/>
  <c r="N17" i="62"/>
  <c r="G174" i="62" s="1"/>
  <c r="M17" i="62"/>
  <c r="N16" i="62"/>
  <c r="M16" i="62"/>
  <c r="T181" i="62"/>
  <c r="N15" i="62"/>
  <c r="M15" i="62"/>
  <c r="L14" i="62"/>
  <c r="N14" i="62" s="1"/>
  <c r="L13" i="62"/>
  <c r="M13" i="62" s="1"/>
  <c r="L12" i="62"/>
  <c r="N12" i="62" s="1"/>
  <c r="L11" i="62"/>
  <c r="N11" i="62" s="1"/>
  <c r="L10" i="62"/>
  <c r="N10" i="62" s="1"/>
  <c r="L9" i="62"/>
  <c r="N9" i="62" s="1"/>
  <c r="R206" i="61"/>
  <c r="R195" i="61"/>
  <c r="R184" i="61"/>
  <c r="B177" i="61"/>
  <c r="R172" i="61"/>
  <c r="B173" i="61"/>
  <c r="B174" i="61" s="1"/>
  <c r="B133" i="61"/>
  <c r="B112" i="61"/>
  <c r="O112" i="61" s="1"/>
  <c r="B101" i="61"/>
  <c r="B90" i="61"/>
  <c r="O91" i="61" s="1"/>
  <c r="K36" i="61"/>
  <c r="M29" i="61"/>
  <c r="L27" i="61"/>
  <c r="P22" i="61"/>
  <c r="N17" i="61"/>
  <c r="M17" i="61"/>
  <c r="N16" i="61"/>
  <c r="M16" i="61"/>
  <c r="N15" i="61"/>
  <c r="M19" i="61" s="1"/>
  <c r="M15" i="61"/>
  <c r="L14" i="61"/>
  <c r="N14" i="61" s="1"/>
  <c r="M20" i="61" s="1"/>
  <c r="L13" i="61"/>
  <c r="M13" i="61" s="1"/>
  <c r="L12" i="61"/>
  <c r="M12" i="61" s="1"/>
  <c r="L11" i="61"/>
  <c r="M11" i="61" s="1"/>
  <c r="L10" i="61"/>
  <c r="N10" i="61" s="1"/>
  <c r="L9" i="61"/>
  <c r="M9" i="61" s="1"/>
  <c r="C20" i="59"/>
  <c r="R206" i="60"/>
  <c r="R195" i="60"/>
  <c r="R184" i="60"/>
  <c r="B177" i="60"/>
  <c r="R172" i="60"/>
  <c r="B173" i="60"/>
  <c r="B133" i="60"/>
  <c r="B134" i="60" s="1"/>
  <c r="B112" i="60"/>
  <c r="O112" i="60" s="1"/>
  <c r="B101" i="60"/>
  <c r="B90" i="60"/>
  <c r="O91" i="60" s="1"/>
  <c r="K36" i="60"/>
  <c r="M29" i="60"/>
  <c r="L27" i="60"/>
  <c r="C20" i="60"/>
  <c r="N17" i="60"/>
  <c r="M17" i="60"/>
  <c r="N16" i="60"/>
  <c r="M16" i="60"/>
  <c r="O87" i="60"/>
  <c r="N15" i="60"/>
  <c r="M15" i="60"/>
  <c r="L14" i="60"/>
  <c r="N14" i="60" s="1"/>
  <c r="L13" i="60"/>
  <c r="M13" i="60" s="1"/>
  <c r="L12" i="60"/>
  <c r="M12" i="60" s="1"/>
  <c r="L11" i="60"/>
  <c r="M11" i="60" s="1"/>
  <c r="L10" i="60"/>
  <c r="N10" i="60" s="1"/>
  <c r="L9" i="60"/>
  <c r="M9" i="60" s="1"/>
  <c r="R206" i="59"/>
  <c r="R195" i="59"/>
  <c r="R184" i="59"/>
  <c r="B177" i="59"/>
  <c r="R172" i="59"/>
  <c r="B173" i="59"/>
  <c r="B133" i="59"/>
  <c r="B134" i="59" s="1"/>
  <c r="B112" i="59"/>
  <c r="O112" i="59" s="1"/>
  <c r="B101" i="59"/>
  <c r="O101" i="59" s="1"/>
  <c r="B90" i="59"/>
  <c r="O91" i="59" s="1"/>
  <c r="M77" i="59"/>
  <c r="M64" i="59"/>
  <c r="K36" i="59"/>
  <c r="M29" i="59"/>
  <c r="L27" i="59"/>
  <c r="M72" i="59"/>
  <c r="L22" i="59"/>
  <c r="N17" i="59"/>
  <c r="M17" i="59"/>
  <c r="N16" i="59"/>
  <c r="M16" i="59"/>
  <c r="N15" i="59"/>
  <c r="M15" i="59"/>
  <c r="L14" i="59"/>
  <c r="N14" i="59" s="1"/>
  <c r="L13" i="59"/>
  <c r="M13" i="59" s="1"/>
  <c r="L12" i="59"/>
  <c r="M12" i="59" s="1"/>
  <c r="L11" i="59"/>
  <c r="M11" i="59" s="1"/>
  <c r="L10" i="59"/>
  <c r="N10" i="59" s="1"/>
  <c r="L9" i="59"/>
  <c r="M9" i="59" s="1"/>
  <c r="C20" i="58"/>
  <c r="R206" i="58"/>
  <c r="R195" i="58"/>
  <c r="R184" i="58"/>
  <c r="B177" i="58"/>
  <c r="R172" i="58"/>
  <c r="B173" i="58"/>
  <c r="B174" i="58" s="1"/>
  <c r="B133" i="58"/>
  <c r="B134" i="58" s="1"/>
  <c r="B112" i="58"/>
  <c r="O112" i="58" s="1"/>
  <c r="B101" i="58"/>
  <c r="B90" i="58"/>
  <c r="O91" i="58" s="1"/>
  <c r="K36" i="58"/>
  <c r="M29" i="58"/>
  <c r="L27" i="58"/>
  <c r="P22" i="58"/>
  <c r="N17" i="58"/>
  <c r="G174" i="58" s="1"/>
  <c r="M17" i="58"/>
  <c r="N16" i="58"/>
  <c r="M16" i="58"/>
  <c r="T181" i="58"/>
  <c r="N15" i="58"/>
  <c r="M15" i="58"/>
  <c r="L14" i="58"/>
  <c r="M14" i="58" s="1"/>
  <c r="L13" i="58"/>
  <c r="N13" i="58" s="1"/>
  <c r="L12" i="58"/>
  <c r="N12" i="58" s="1"/>
  <c r="L11" i="58"/>
  <c r="N11" i="58" s="1"/>
  <c r="L10" i="58"/>
  <c r="M10" i="58" s="1"/>
  <c r="L9" i="58"/>
  <c r="N9" i="58" s="1"/>
  <c r="R206" i="55"/>
  <c r="R195" i="55"/>
  <c r="R184" i="55"/>
  <c r="B177" i="55"/>
  <c r="R172" i="55"/>
  <c r="B173" i="55"/>
  <c r="B174" i="55" s="1"/>
  <c r="B133" i="55"/>
  <c r="B112" i="55"/>
  <c r="O112" i="55" s="1"/>
  <c r="B101" i="55"/>
  <c r="B90" i="55"/>
  <c r="K36" i="55"/>
  <c r="M29" i="55"/>
  <c r="L27" i="55"/>
  <c r="P22" i="55"/>
  <c r="C20" i="55"/>
  <c r="N17" i="55"/>
  <c r="M17" i="55"/>
  <c r="N16" i="55"/>
  <c r="M16" i="55"/>
  <c r="O99" i="55"/>
  <c r="N15" i="55"/>
  <c r="M15" i="55"/>
  <c r="L14" i="55"/>
  <c r="N14" i="55" s="1"/>
  <c r="L13" i="55"/>
  <c r="M13" i="55" s="1"/>
  <c r="L12" i="55"/>
  <c r="M12" i="55" s="1"/>
  <c r="L11" i="55"/>
  <c r="M11" i="55" s="1"/>
  <c r="N10" i="55"/>
  <c r="L10" i="55"/>
  <c r="M10" i="55" s="1"/>
  <c r="L9" i="55"/>
  <c r="M9" i="55" s="1"/>
  <c r="C20" i="53"/>
  <c r="R206" i="53"/>
  <c r="R195" i="53"/>
  <c r="R184" i="53"/>
  <c r="B177" i="53"/>
  <c r="R172" i="53"/>
  <c r="B173" i="53"/>
  <c r="B174" i="53" s="1"/>
  <c r="B133" i="53"/>
  <c r="B134" i="53" s="1"/>
  <c r="B112" i="53"/>
  <c r="O112" i="53" s="1"/>
  <c r="B101" i="53"/>
  <c r="B90" i="53"/>
  <c r="O91" i="53" s="1"/>
  <c r="K36" i="53"/>
  <c r="M29" i="53"/>
  <c r="L27" i="53"/>
  <c r="N17" i="53"/>
  <c r="M17" i="53"/>
  <c r="N16" i="53"/>
  <c r="M16" i="53"/>
  <c r="O87" i="53"/>
  <c r="N15" i="53"/>
  <c r="M15" i="53"/>
  <c r="L14" i="53"/>
  <c r="M14" i="53" s="1"/>
  <c r="L13" i="53"/>
  <c r="N13" i="53" s="1"/>
  <c r="L12" i="53"/>
  <c r="N12" i="53" s="1"/>
  <c r="L11" i="53"/>
  <c r="M11" i="53" s="1"/>
  <c r="L10" i="53"/>
  <c r="M10" i="53" s="1"/>
  <c r="L9" i="53"/>
  <c r="N9" i="53" s="1"/>
  <c r="M151" i="74" l="1"/>
  <c r="M152" i="74" s="1"/>
  <c r="M164" i="74"/>
  <c r="M165" i="74" s="1"/>
  <c r="R138" i="74"/>
  <c r="R139" i="74" s="1"/>
  <c r="M131" i="74" s="1"/>
  <c r="B139" i="74"/>
  <c r="B140" i="74" s="1"/>
  <c r="M130" i="74" s="1"/>
  <c r="G140" i="74" s="1"/>
  <c r="C36" i="74" s="1"/>
  <c r="B94" i="79"/>
  <c r="B95" i="79" s="1"/>
  <c r="C33" i="79" s="1"/>
  <c r="V138" i="79"/>
  <c r="V139" i="79" s="1"/>
  <c r="X138" i="79"/>
  <c r="X139" i="79" s="1"/>
  <c r="C61" i="72"/>
  <c r="C65" i="72" s="1"/>
  <c r="R138" i="72"/>
  <c r="R139" i="72" s="1"/>
  <c r="G140" i="72" s="1"/>
  <c r="C36" i="72" s="1"/>
  <c r="O143" i="78"/>
  <c r="B165" i="78"/>
  <c r="B166" i="78" s="1"/>
  <c r="G166" i="78" s="1"/>
  <c r="C38" i="78" s="1"/>
  <c r="M164" i="78"/>
  <c r="M165" i="78" s="1"/>
  <c r="R138" i="78"/>
  <c r="R139" i="78" s="1"/>
  <c r="M131" i="78" s="1"/>
  <c r="B94" i="77"/>
  <c r="B95" i="77" s="1"/>
  <c r="C33" i="77" s="1"/>
  <c r="V134" i="77"/>
  <c r="V135" i="77" s="1"/>
  <c r="C61" i="80"/>
  <c r="C65" i="80" s="1"/>
  <c r="M151" i="80"/>
  <c r="M152" i="80" s="1"/>
  <c r="B139" i="80"/>
  <c r="B140" i="80" s="1"/>
  <c r="M130" i="80" s="1"/>
  <c r="R138" i="80"/>
  <c r="R139" i="80" s="1"/>
  <c r="M131" i="80" s="1"/>
  <c r="M164" i="80"/>
  <c r="M165" i="80" s="1"/>
  <c r="B139" i="71"/>
  <c r="B140" i="71" s="1"/>
  <c r="G140" i="71" s="1"/>
  <c r="C36" i="71" s="1"/>
  <c r="V134" i="71"/>
  <c r="V135" i="71" s="1"/>
  <c r="O161" i="71"/>
  <c r="B165" i="71"/>
  <c r="B166" i="71" s="1"/>
  <c r="C38" i="71" s="1"/>
  <c r="B94" i="69"/>
  <c r="B95" i="69" s="1"/>
  <c r="C33" i="69" s="1"/>
  <c r="B139" i="69"/>
  <c r="B140" i="69" s="1"/>
  <c r="O135" i="69"/>
  <c r="R138" i="70"/>
  <c r="R139" i="70" s="1"/>
  <c r="C46" i="68"/>
  <c r="C69" i="68"/>
  <c r="B132" i="68"/>
  <c r="V127" i="68"/>
  <c r="B147" i="68"/>
  <c r="R131" i="68"/>
  <c r="C181" i="67"/>
  <c r="F181" i="67" s="1"/>
  <c r="C41" i="67"/>
  <c r="C46" i="66"/>
  <c r="C69" i="66"/>
  <c r="C70" i="66" s="1"/>
  <c r="B147" i="66"/>
  <c r="B160" i="66"/>
  <c r="B132" i="66"/>
  <c r="R131" i="65"/>
  <c r="V127" i="65"/>
  <c r="C46" i="65"/>
  <c r="C47" i="65" s="1"/>
  <c r="C69" i="65"/>
  <c r="C70" i="65" s="1"/>
  <c r="B132" i="65"/>
  <c r="B147" i="65"/>
  <c r="C41" i="64"/>
  <c r="S160" i="81"/>
  <c r="S161" i="81" s="1"/>
  <c r="S162" i="81" s="1"/>
  <c r="S163" i="81" s="1"/>
  <c r="B139" i="81"/>
  <c r="B140" i="81" s="1"/>
  <c r="C36" i="81" s="1"/>
  <c r="C51" i="79"/>
  <c r="C56" i="79" s="1"/>
  <c r="C61" i="79" s="1"/>
  <c r="C65" i="79" s="1"/>
  <c r="C61" i="78"/>
  <c r="C65" i="78" s="1"/>
  <c r="C61" i="74"/>
  <c r="C65" i="74" s="1"/>
  <c r="C51" i="77"/>
  <c r="C56" i="77" s="1"/>
  <c r="C60" i="77"/>
  <c r="C60" i="69"/>
  <c r="C51" i="69"/>
  <c r="C56" i="69" s="1"/>
  <c r="M19" i="53"/>
  <c r="G174" i="53" s="1"/>
  <c r="M20" i="53"/>
  <c r="G178" i="53" s="1"/>
  <c r="R132" i="62"/>
  <c r="R133" i="62" s="1"/>
  <c r="V128" i="62"/>
  <c r="V129" i="62" s="1"/>
  <c r="M20" i="63"/>
  <c r="G178" i="63" s="1"/>
  <c r="M19" i="63"/>
  <c r="T181" i="61"/>
  <c r="M9" i="58"/>
  <c r="R130" i="65"/>
  <c r="R136" i="65" s="1"/>
  <c r="M19" i="59"/>
  <c r="G174" i="59" s="1"/>
  <c r="M20" i="59"/>
  <c r="G178" i="59" s="1"/>
  <c r="M20" i="55"/>
  <c r="M19" i="55"/>
  <c r="B134" i="63"/>
  <c r="V128" i="63"/>
  <c r="V129" i="63" s="1"/>
  <c r="M14" i="61"/>
  <c r="R132" i="61"/>
  <c r="R133" i="61" s="1"/>
  <c r="V128" i="61"/>
  <c r="V129" i="61" s="1"/>
  <c r="B134" i="55"/>
  <c r="V128" i="55"/>
  <c r="V129" i="55" s="1"/>
  <c r="C36" i="80"/>
  <c r="V133" i="69"/>
  <c r="AE195" i="70"/>
  <c r="B135" i="68"/>
  <c r="R130" i="68"/>
  <c r="R136" i="68" s="1"/>
  <c r="T181" i="63"/>
  <c r="O156" i="78"/>
  <c r="P22" i="53"/>
  <c r="C82" i="53"/>
  <c r="P22" i="60"/>
  <c r="C82" i="60"/>
  <c r="C71" i="60"/>
  <c r="O90" i="59"/>
  <c r="C62" i="65"/>
  <c r="C77" i="65"/>
  <c r="B113" i="81"/>
  <c r="B114" i="81" s="1"/>
  <c r="T181" i="60"/>
  <c r="M10" i="63"/>
  <c r="B164" i="81"/>
  <c r="B165" i="81" s="1"/>
  <c r="M150" i="77"/>
  <c r="M14" i="59"/>
  <c r="M9" i="62"/>
  <c r="M163" i="77"/>
  <c r="B166" i="80"/>
  <c r="G166" i="80" s="1"/>
  <c r="C38" i="80" s="1"/>
  <c r="O156" i="80"/>
  <c r="B153" i="80"/>
  <c r="G153" i="80" s="1"/>
  <c r="C37" i="80" s="1"/>
  <c r="O143" i="80"/>
  <c r="B117" i="79"/>
  <c r="C35" i="79" s="1"/>
  <c r="B106" i="79"/>
  <c r="C34" i="79" s="1"/>
  <c r="E64" i="79"/>
  <c r="F31" i="79"/>
  <c r="B164" i="79"/>
  <c r="B165" i="79" s="1"/>
  <c r="D159" i="79"/>
  <c r="B138" i="79"/>
  <c r="O135" i="79"/>
  <c r="K137" i="79"/>
  <c r="K138" i="79" s="1"/>
  <c r="K139" i="79" s="1"/>
  <c r="R137" i="79"/>
  <c r="B151" i="79"/>
  <c r="B152" i="79" s="1"/>
  <c r="D146" i="79"/>
  <c r="M163" i="79"/>
  <c r="M150" i="79"/>
  <c r="G153" i="78"/>
  <c r="C37" i="78" s="1"/>
  <c r="B117" i="77"/>
  <c r="C35" i="77" s="1"/>
  <c r="B106" i="77"/>
  <c r="C34" i="77" s="1"/>
  <c r="K137" i="77"/>
  <c r="K138" i="77" s="1"/>
  <c r="K139" i="77" s="1"/>
  <c r="R137" i="77"/>
  <c r="B164" i="77"/>
  <c r="D159" i="77"/>
  <c r="E64" i="77"/>
  <c r="F31" i="77"/>
  <c r="B151" i="77"/>
  <c r="D146" i="77"/>
  <c r="B138" i="77"/>
  <c r="O135" i="77"/>
  <c r="B153" i="74"/>
  <c r="C37" i="74" s="1"/>
  <c r="O143" i="74"/>
  <c r="B166" i="74"/>
  <c r="O156" i="74"/>
  <c r="B153" i="72"/>
  <c r="C37" i="72" s="1"/>
  <c r="O148" i="72"/>
  <c r="B166" i="72"/>
  <c r="C38" i="72" s="1"/>
  <c r="O161" i="72"/>
  <c r="C71" i="58"/>
  <c r="M10" i="60"/>
  <c r="B166" i="70"/>
  <c r="C38" i="70" s="1"/>
  <c r="O161" i="70"/>
  <c r="C37" i="70"/>
  <c r="O148" i="70"/>
  <c r="B106" i="69"/>
  <c r="C34" i="69" s="1"/>
  <c r="R137" i="69"/>
  <c r="K137" i="69"/>
  <c r="K138" i="69" s="1"/>
  <c r="K139" i="69" s="1"/>
  <c r="B164" i="69"/>
  <c r="B165" i="69" s="1"/>
  <c r="D159" i="69"/>
  <c r="F31" i="69"/>
  <c r="B151" i="69"/>
  <c r="B152" i="69" s="1"/>
  <c r="D146" i="69"/>
  <c r="B117" i="69"/>
  <c r="C35" i="69" s="1"/>
  <c r="B136" i="68"/>
  <c r="C70" i="68"/>
  <c r="B91" i="68"/>
  <c r="B92" i="68" s="1"/>
  <c r="B93" i="68" s="1"/>
  <c r="M80" i="68"/>
  <c r="C82" i="68" s="1"/>
  <c r="E82" i="68" s="1"/>
  <c r="M98" i="68"/>
  <c r="M86" i="68"/>
  <c r="M67" i="68"/>
  <c r="C64" i="68" s="1"/>
  <c r="B145" i="68"/>
  <c r="B148" i="68" s="1"/>
  <c r="B131" i="68"/>
  <c r="M109" i="68"/>
  <c r="C47" i="68"/>
  <c r="V199" i="68"/>
  <c r="R198" i="68" s="1"/>
  <c r="T193" i="68"/>
  <c r="T194" i="68" s="1"/>
  <c r="R196" i="68" s="1"/>
  <c r="R197" i="68" s="1"/>
  <c r="T171" i="68"/>
  <c r="R173" i="68" s="1"/>
  <c r="R174" i="68" s="1"/>
  <c r="R188" i="68"/>
  <c r="H35" i="68" s="1"/>
  <c r="AE184" i="68"/>
  <c r="M35" i="68"/>
  <c r="K37" i="68" s="1"/>
  <c r="K38" i="68" s="1"/>
  <c r="R210" i="68"/>
  <c r="AE206" i="68"/>
  <c r="B170" i="67"/>
  <c r="C42" i="67"/>
  <c r="C43" i="67" s="1"/>
  <c r="M59" i="59"/>
  <c r="R132" i="63"/>
  <c r="R133" i="63" s="1"/>
  <c r="M13" i="53"/>
  <c r="M9" i="53"/>
  <c r="M12" i="53"/>
  <c r="N11" i="53"/>
  <c r="R132" i="55"/>
  <c r="R133" i="55" s="1"/>
  <c r="M12" i="58"/>
  <c r="M10" i="59"/>
  <c r="M12" i="62"/>
  <c r="M14" i="63"/>
  <c r="G174" i="63"/>
  <c r="N10" i="53"/>
  <c r="M14" i="60"/>
  <c r="M10" i="61"/>
  <c r="M11" i="62"/>
  <c r="C77" i="67"/>
  <c r="M65" i="67"/>
  <c r="M66" i="67" s="1"/>
  <c r="C63" i="67" s="1"/>
  <c r="C62" i="67"/>
  <c r="C80" i="67"/>
  <c r="M78" i="67"/>
  <c r="M79" i="67" s="1"/>
  <c r="C81" i="67" s="1"/>
  <c r="T180" i="67"/>
  <c r="M33" i="67"/>
  <c r="M34" i="67"/>
  <c r="K39" i="67" s="1"/>
  <c r="T169" i="67"/>
  <c r="T170" i="67"/>
  <c r="R175" i="67" s="1"/>
  <c r="T182" i="67"/>
  <c r="T183" i="67" s="1"/>
  <c r="R185" i="67" s="1"/>
  <c r="R186" i="67" s="1"/>
  <c r="T205" i="67"/>
  <c r="R207" i="67" s="1"/>
  <c r="R208" i="67" s="1"/>
  <c r="C54" i="67"/>
  <c r="M67" i="66"/>
  <c r="C64" i="66" s="1"/>
  <c r="B131" i="66"/>
  <c r="B137" i="66" s="1"/>
  <c r="M86" i="66"/>
  <c r="E89" i="66" s="1"/>
  <c r="B94" i="66" s="1"/>
  <c r="B136" i="66"/>
  <c r="C47" i="66"/>
  <c r="M109" i="66"/>
  <c r="E111" i="66" s="1"/>
  <c r="B116" i="66" s="1"/>
  <c r="B145" i="66"/>
  <c r="B91" i="66"/>
  <c r="B92" i="66" s="1"/>
  <c r="B93" i="66" s="1"/>
  <c r="M80" i="66"/>
  <c r="C82" i="66" s="1"/>
  <c r="B158" i="66"/>
  <c r="B161" i="66" s="1"/>
  <c r="C54" i="66"/>
  <c r="C77" i="66"/>
  <c r="B135" i="66"/>
  <c r="B129" i="66"/>
  <c r="M65" i="66"/>
  <c r="M66" i="66" s="1"/>
  <c r="C63" i="66" s="1"/>
  <c r="C62" i="66"/>
  <c r="M33" i="66"/>
  <c r="M34" i="66"/>
  <c r="K39" i="66" s="1"/>
  <c r="T205" i="66"/>
  <c r="R207" i="66" s="1"/>
  <c r="R208" i="66" s="1"/>
  <c r="B113" i="66"/>
  <c r="B114" i="66" s="1"/>
  <c r="B115" i="66" s="1"/>
  <c r="C181" i="66"/>
  <c r="F181" i="66" s="1"/>
  <c r="B102" i="66"/>
  <c r="B103" i="66" s="1"/>
  <c r="B104" i="66" s="1"/>
  <c r="M78" i="66"/>
  <c r="M79" i="66" s="1"/>
  <c r="C81" i="66" s="1"/>
  <c r="C80" i="66"/>
  <c r="T169" i="66"/>
  <c r="T170" i="66"/>
  <c r="R175" i="66" s="1"/>
  <c r="T182" i="66"/>
  <c r="T183" i="66" s="1"/>
  <c r="R185" i="66" s="1"/>
  <c r="R186" i="66" s="1"/>
  <c r="T180" i="66"/>
  <c r="M98" i="66"/>
  <c r="C54" i="65"/>
  <c r="B145" i="65"/>
  <c r="B148" i="65" s="1"/>
  <c r="B158" i="65"/>
  <c r="B161" i="65" s="1"/>
  <c r="M67" i="65"/>
  <c r="B102" i="65"/>
  <c r="B103" i="65" s="1"/>
  <c r="B104" i="65" s="1"/>
  <c r="B136" i="65"/>
  <c r="M109" i="65"/>
  <c r="M98" i="65"/>
  <c r="B131" i="65"/>
  <c r="C80" i="65"/>
  <c r="M78" i="65"/>
  <c r="M79" i="65" s="1"/>
  <c r="C81" i="65" s="1"/>
  <c r="M33" i="65"/>
  <c r="M34" i="65"/>
  <c r="K39" i="65" s="1"/>
  <c r="T169" i="65"/>
  <c r="T182" i="65"/>
  <c r="T183" i="65" s="1"/>
  <c r="R185" i="65" s="1"/>
  <c r="R186" i="65" s="1"/>
  <c r="T170" i="65"/>
  <c r="R175" i="65" s="1"/>
  <c r="T205" i="65"/>
  <c r="R207" i="65" s="1"/>
  <c r="R208" i="65" s="1"/>
  <c r="M80" i="65"/>
  <c r="M86" i="65"/>
  <c r="T180" i="65"/>
  <c r="B135" i="65"/>
  <c r="B129" i="65"/>
  <c r="C181" i="65"/>
  <c r="F181" i="65" s="1"/>
  <c r="B91" i="65"/>
  <c r="B92" i="65" s="1"/>
  <c r="B93" i="65" s="1"/>
  <c r="B88" i="64"/>
  <c r="C78" i="64"/>
  <c r="M71" i="64"/>
  <c r="M73" i="64" s="1"/>
  <c r="C76" i="64"/>
  <c r="C42" i="64"/>
  <c r="C43" i="64" s="1"/>
  <c r="C75" i="64"/>
  <c r="E64" i="64"/>
  <c r="C52" i="64"/>
  <c r="G177" i="64"/>
  <c r="B179" i="64" s="1"/>
  <c r="B113" i="64"/>
  <c r="B114" i="64" s="1"/>
  <c r="B115" i="64" s="1"/>
  <c r="C58" i="64"/>
  <c r="C59" i="64" s="1"/>
  <c r="C55" i="64"/>
  <c r="C53" i="64"/>
  <c r="T202" i="64"/>
  <c r="T203" i="64" s="1"/>
  <c r="T204" i="64" s="1"/>
  <c r="R209" i="64" s="1"/>
  <c r="T179" i="64"/>
  <c r="R187" i="64" s="1"/>
  <c r="M32" i="64"/>
  <c r="T191" i="64"/>
  <c r="T192" i="64" s="1"/>
  <c r="T168" i="64"/>
  <c r="G173" i="64"/>
  <c r="B175" i="64" s="1"/>
  <c r="B170" i="64"/>
  <c r="B102" i="64"/>
  <c r="B103" i="64" s="1"/>
  <c r="B104" i="64" s="1"/>
  <c r="C22" i="63"/>
  <c r="C41" i="63" s="1"/>
  <c r="O87" i="63"/>
  <c r="O89" i="63"/>
  <c r="O101" i="63"/>
  <c r="O88" i="63"/>
  <c r="O90" i="63"/>
  <c r="B88" i="63"/>
  <c r="B128" i="63"/>
  <c r="C71" i="63"/>
  <c r="B144" i="63"/>
  <c r="P22" i="63"/>
  <c r="M9" i="63"/>
  <c r="M11" i="63"/>
  <c r="M12" i="63"/>
  <c r="M13" i="63"/>
  <c r="L22" i="63"/>
  <c r="C27" i="63"/>
  <c r="C48" i="63"/>
  <c r="C64" i="63"/>
  <c r="O99" i="63"/>
  <c r="O100" i="63"/>
  <c r="O103" i="63"/>
  <c r="O110" i="63"/>
  <c r="B157" i="63"/>
  <c r="C23" i="63"/>
  <c r="C26" i="63"/>
  <c r="C28" i="63"/>
  <c r="C62" i="63"/>
  <c r="M72" i="62"/>
  <c r="C22" i="62"/>
  <c r="O90" i="62"/>
  <c r="O101" i="62"/>
  <c r="C71" i="62"/>
  <c r="M10" i="62"/>
  <c r="N13" i="62"/>
  <c r="M14" i="62"/>
  <c r="G178" i="62"/>
  <c r="C23" i="62"/>
  <c r="M71" i="62" s="1"/>
  <c r="C26" i="62"/>
  <c r="C28" i="62"/>
  <c r="C48" i="62"/>
  <c r="C64" i="62"/>
  <c r="B87" i="62"/>
  <c r="O87" i="62"/>
  <c r="O88" i="62"/>
  <c r="O89" i="62"/>
  <c r="O99" i="62"/>
  <c r="O100" i="62"/>
  <c r="O103" i="62"/>
  <c r="O110" i="62"/>
  <c r="B134" i="62"/>
  <c r="B144" i="62"/>
  <c r="B157" i="62"/>
  <c r="L22" i="62"/>
  <c r="C27" i="62"/>
  <c r="C62" i="62"/>
  <c r="O87" i="61"/>
  <c r="O89" i="61"/>
  <c r="O100" i="61"/>
  <c r="O88" i="61"/>
  <c r="O99" i="61"/>
  <c r="O110" i="61"/>
  <c r="N9" i="61"/>
  <c r="N11" i="61"/>
  <c r="N12" i="61"/>
  <c r="N13" i="61"/>
  <c r="C48" i="61"/>
  <c r="C64" i="61"/>
  <c r="E32" i="61"/>
  <c r="B87" i="61"/>
  <c r="O101" i="61"/>
  <c r="B134" i="61"/>
  <c r="B144" i="61"/>
  <c r="B157" i="61"/>
  <c r="B178" i="61"/>
  <c r="L22" i="61"/>
  <c r="C62" i="61"/>
  <c r="C23" i="60"/>
  <c r="O110" i="60"/>
  <c r="O100" i="60"/>
  <c r="O99" i="60"/>
  <c r="C22" i="60"/>
  <c r="N9" i="60"/>
  <c r="N11" i="60"/>
  <c r="N12" i="60"/>
  <c r="N13" i="60"/>
  <c r="C26" i="60"/>
  <c r="C28" i="60"/>
  <c r="C48" i="60"/>
  <c r="C64" i="60"/>
  <c r="B87" i="60"/>
  <c r="O101" i="60"/>
  <c r="B144" i="60"/>
  <c r="B157" i="60"/>
  <c r="B174" i="60"/>
  <c r="B178" i="60"/>
  <c r="L22" i="60"/>
  <c r="C27" i="60"/>
  <c r="C62" i="60"/>
  <c r="B157" i="59"/>
  <c r="B144" i="59"/>
  <c r="B87" i="59"/>
  <c r="C71" i="59"/>
  <c r="C48" i="59"/>
  <c r="C28" i="59"/>
  <c r="C26" i="59"/>
  <c r="C27" i="59"/>
  <c r="N9" i="59"/>
  <c r="N11" i="59"/>
  <c r="N12" i="59"/>
  <c r="N13" i="59"/>
  <c r="C22" i="59"/>
  <c r="O99" i="59"/>
  <c r="O100" i="59"/>
  <c r="O110" i="59"/>
  <c r="O111" i="59"/>
  <c r="T181" i="59"/>
  <c r="C23" i="59"/>
  <c r="P22" i="59"/>
  <c r="O87" i="59"/>
  <c r="O88" i="59"/>
  <c r="O89" i="59"/>
  <c r="M11" i="58"/>
  <c r="M13" i="58"/>
  <c r="N10" i="58"/>
  <c r="N14" i="58"/>
  <c r="G178" i="58"/>
  <c r="C23" i="58"/>
  <c r="C26" i="58"/>
  <c r="C28" i="58"/>
  <c r="C64" i="58"/>
  <c r="E82" i="58"/>
  <c r="B87" i="58"/>
  <c r="O87" i="58"/>
  <c r="O88" i="58"/>
  <c r="O101" i="58"/>
  <c r="O110" i="58"/>
  <c r="B144" i="58"/>
  <c r="B157" i="58"/>
  <c r="C22" i="58"/>
  <c r="L22" i="58"/>
  <c r="C27" i="58"/>
  <c r="C62" i="58"/>
  <c r="O99" i="58"/>
  <c r="C23" i="55"/>
  <c r="C71" i="55"/>
  <c r="O110" i="55"/>
  <c r="M14" i="55"/>
  <c r="C22" i="55"/>
  <c r="N9" i="55"/>
  <c r="O88" i="55"/>
  <c r="O87" i="55"/>
  <c r="L22" i="55"/>
  <c r="N11" i="55"/>
  <c r="N12" i="55"/>
  <c r="N13" i="55"/>
  <c r="C28" i="55"/>
  <c r="C64" i="55"/>
  <c r="O91" i="55"/>
  <c r="B144" i="55"/>
  <c r="B157" i="55"/>
  <c r="B178" i="55"/>
  <c r="C27" i="55"/>
  <c r="C62" i="55"/>
  <c r="T181" i="55"/>
  <c r="C26" i="55"/>
  <c r="C48" i="55"/>
  <c r="E32" i="55"/>
  <c r="B87" i="55"/>
  <c r="O101" i="55"/>
  <c r="O110" i="53"/>
  <c r="O99" i="53"/>
  <c r="O88" i="53"/>
  <c r="C23" i="53"/>
  <c r="C22" i="53"/>
  <c r="C71" i="53"/>
  <c r="N14" i="53"/>
  <c r="C28" i="53"/>
  <c r="C64" i="53"/>
  <c r="B144" i="53"/>
  <c r="B157" i="53"/>
  <c r="B178" i="53"/>
  <c r="L22" i="53"/>
  <c r="C27" i="53"/>
  <c r="C62" i="53"/>
  <c r="T181" i="53"/>
  <c r="C26" i="53"/>
  <c r="C48" i="53"/>
  <c r="B87" i="53"/>
  <c r="O101" i="53"/>
  <c r="R138" i="79" l="1"/>
  <c r="R139" i="79" s="1"/>
  <c r="M131" i="79" s="1"/>
  <c r="M164" i="79"/>
  <c r="M165" i="79" s="1"/>
  <c r="B139" i="79"/>
  <c r="B140" i="79" s="1"/>
  <c r="M151" i="79"/>
  <c r="M152" i="79" s="1"/>
  <c r="O143" i="77"/>
  <c r="B152" i="77"/>
  <c r="B153" i="77" s="1"/>
  <c r="C37" i="77" s="1"/>
  <c r="O156" i="77"/>
  <c r="B165" i="77"/>
  <c r="B166" i="77" s="1"/>
  <c r="C61" i="77"/>
  <c r="C65" i="77" s="1"/>
  <c r="B139" i="77"/>
  <c r="B140" i="77" s="1"/>
  <c r="M130" i="77" s="1"/>
  <c r="M164" i="77"/>
  <c r="M165" i="77" s="1"/>
  <c r="R138" i="77"/>
  <c r="R139" i="77" s="1"/>
  <c r="M131" i="77" s="1"/>
  <c r="M151" i="77"/>
  <c r="M152" i="77" s="1"/>
  <c r="V134" i="69"/>
  <c r="V135" i="69" s="1"/>
  <c r="C61" i="69"/>
  <c r="C65" i="69" s="1"/>
  <c r="R138" i="69"/>
  <c r="R139" i="69" s="1"/>
  <c r="G140" i="69" s="1"/>
  <c r="C36" i="69" s="1"/>
  <c r="G140" i="70"/>
  <c r="C36" i="70" s="1"/>
  <c r="C41" i="59"/>
  <c r="C42" i="59" s="1"/>
  <c r="C43" i="59" s="1"/>
  <c r="C46" i="67"/>
  <c r="C69" i="67"/>
  <c r="R131" i="67"/>
  <c r="B147" i="67"/>
  <c r="B132" i="67"/>
  <c r="B160" i="67"/>
  <c r="V127" i="67"/>
  <c r="B148" i="66"/>
  <c r="B149" i="66" s="1"/>
  <c r="B150" i="66" s="1"/>
  <c r="C46" i="64"/>
  <c r="C69" i="64"/>
  <c r="V127" i="64"/>
  <c r="R131" i="64"/>
  <c r="B147" i="64"/>
  <c r="B160" i="64"/>
  <c r="C41" i="62"/>
  <c r="C42" i="62" s="1"/>
  <c r="C43" i="62" s="1"/>
  <c r="C52" i="58"/>
  <c r="C54" i="58" s="1"/>
  <c r="C53" i="58"/>
  <c r="C55" i="58"/>
  <c r="C41" i="58"/>
  <c r="C42" i="58" s="1"/>
  <c r="C43" i="58" s="1"/>
  <c r="C41" i="61"/>
  <c r="C41" i="60"/>
  <c r="C42" i="60" s="1"/>
  <c r="C43" i="60" s="1"/>
  <c r="C41" i="55"/>
  <c r="C42" i="55" s="1"/>
  <c r="C43" i="55" s="1"/>
  <c r="B115" i="81"/>
  <c r="B117" i="81" s="1"/>
  <c r="C35" i="81" s="1"/>
  <c r="S164" i="81"/>
  <c r="S165" i="81" s="1"/>
  <c r="D166" i="81" s="1"/>
  <c r="C41" i="53"/>
  <c r="C72" i="68"/>
  <c r="C73" i="68" s="1"/>
  <c r="C74" i="68" s="1"/>
  <c r="C79" i="68" s="1"/>
  <c r="C83" i="68" s="1"/>
  <c r="C49" i="68"/>
  <c r="C50" i="68" s="1"/>
  <c r="C72" i="66"/>
  <c r="C73" i="66" s="1"/>
  <c r="C49" i="66"/>
  <c r="C50" i="66" s="1"/>
  <c r="C49" i="65"/>
  <c r="C50" i="65" s="1"/>
  <c r="C72" i="65"/>
  <c r="C73" i="65" s="1"/>
  <c r="C74" i="65" s="1"/>
  <c r="C79" i="65" s="1"/>
  <c r="C83" i="65" s="1"/>
  <c r="B129" i="63"/>
  <c r="R134" i="65"/>
  <c r="V130" i="65"/>
  <c r="R134" i="68"/>
  <c r="V130" i="68"/>
  <c r="B137" i="68"/>
  <c r="K137" i="68" s="1"/>
  <c r="V126" i="68"/>
  <c r="V132" i="68" s="1"/>
  <c r="R135" i="65"/>
  <c r="R137" i="65" s="1"/>
  <c r="V131" i="65"/>
  <c r="R130" i="67"/>
  <c r="K128" i="67" s="1"/>
  <c r="B137" i="65"/>
  <c r="O135" i="65" s="1"/>
  <c r="V126" i="65"/>
  <c r="V132" i="65" s="1"/>
  <c r="R135" i="68"/>
  <c r="V131" i="68"/>
  <c r="R137" i="68"/>
  <c r="B149" i="68"/>
  <c r="B150" i="68" s="1"/>
  <c r="O67" i="68"/>
  <c r="O80" i="68"/>
  <c r="M80" i="67"/>
  <c r="C82" i="67" s="1"/>
  <c r="E82" i="67" s="1"/>
  <c r="E32" i="60"/>
  <c r="E32" i="53"/>
  <c r="B166" i="81"/>
  <c r="O161" i="81"/>
  <c r="C42" i="63"/>
  <c r="C43" i="63" s="1"/>
  <c r="G153" i="74"/>
  <c r="C38" i="74"/>
  <c r="G166" i="74"/>
  <c r="F31" i="62"/>
  <c r="M73" i="62"/>
  <c r="M78" i="62" s="1"/>
  <c r="M79" i="62" s="1"/>
  <c r="C81" i="62" s="1"/>
  <c r="B153" i="79"/>
  <c r="G153" i="79" s="1"/>
  <c r="C37" i="79" s="1"/>
  <c r="O143" i="79"/>
  <c r="B166" i="79"/>
  <c r="G166" i="79" s="1"/>
  <c r="C38" i="79" s="1"/>
  <c r="O156" i="79"/>
  <c r="B95" i="66"/>
  <c r="C33" i="66" s="1"/>
  <c r="B166" i="69"/>
  <c r="C38" i="69" s="1"/>
  <c r="O161" i="69"/>
  <c r="B153" i="69"/>
  <c r="C37" i="69" s="1"/>
  <c r="O148" i="69"/>
  <c r="B146" i="68"/>
  <c r="E111" i="68"/>
  <c r="B116" i="68" s="1"/>
  <c r="M116" i="68"/>
  <c r="B113" i="68" s="1"/>
  <c r="B114" i="68" s="1"/>
  <c r="B115" i="68" s="1"/>
  <c r="E89" i="68"/>
  <c r="M105" i="68"/>
  <c r="B102" i="68" s="1"/>
  <c r="B103" i="68" s="1"/>
  <c r="B104" i="68" s="1"/>
  <c r="E100" i="68"/>
  <c r="B105" i="68" s="1"/>
  <c r="D131" i="68"/>
  <c r="F131" i="68" s="1"/>
  <c r="K128" i="68"/>
  <c r="D159" i="68"/>
  <c r="R176" i="68"/>
  <c r="H34" i="68" s="1"/>
  <c r="AE172" i="68"/>
  <c r="K40" i="68"/>
  <c r="X36" i="68"/>
  <c r="F31" i="68"/>
  <c r="E64" i="68"/>
  <c r="R199" i="68"/>
  <c r="H36" i="68" s="1"/>
  <c r="AE195" i="68"/>
  <c r="B91" i="67"/>
  <c r="B92" i="67" s="1"/>
  <c r="B93" i="67" s="1"/>
  <c r="B135" i="67"/>
  <c r="B131" i="67"/>
  <c r="B136" i="67"/>
  <c r="B158" i="67"/>
  <c r="B161" i="67" s="1"/>
  <c r="M67" i="67"/>
  <c r="C64" i="67" s="1"/>
  <c r="E64" i="67" s="1"/>
  <c r="M86" i="67"/>
  <c r="E89" i="67" s="1"/>
  <c r="B94" i="67" s="1"/>
  <c r="C70" i="67"/>
  <c r="C47" i="67"/>
  <c r="B145" i="67"/>
  <c r="B148" i="67" s="1"/>
  <c r="M109" i="67"/>
  <c r="M98" i="67"/>
  <c r="M105" i="67" s="1"/>
  <c r="B102" i="67" s="1"/>
  <c r="B103" i="67" s="1"/>
  <c r="B104" i="67" s="1"/>
  <c r="D131" i="64"/>
  <c r="F131" i="64" s="1"/>
  <c r="R210" i="67"/>
  <c r="AE206" i="67"/>
  <c r="M35" i="67"/>
  <c r="K37" i="67" s="1"/>
  <c r="K38" i="67" s="1"/>
  <c r="O80" i="67"/>
  <c r="T171" i="67"/>
  <c r="R173" i="67" s="1"/>
  <c r="R174" i="67" s="1"/>
  <c r="T193" i="67"/>
  <c r="T194" i="67" s="1"/>
  <c r="R196" i="67" s="1"/>
  <c r="R197" i="67" s="1"/>
  <c r="V199" i="67"/>
  <c r="R198" i="67" s="1"/>
  <c r="R188" i="67"/>
  <c r="H35" i="67" s="1"/>
  <c r="AE184" i="67"/>
  <c r="B159" i="66"/>
  <c r="D159" i="66" s="1"/>
  <c r="B162" i="66"/>
  <c r="B163" i="66" s="1"/>
  <c r="B146" i="66"/>
  <c r="D131" i="66"/>
  <c r="F131" i="66" s="1"/>
  <c r="B117" i="66"/>
  <c r="C35" i="66" s="1"/>
  <c r="E100" i="66"/>
  <c r="O67" i="66"/>
  <c r="R188" i="66"/>
  <c r="H35" i="66" s="1"/>
  <c r="AE184" i="66"/>
  <c r="E82" i="66"/>
  <c r="F32" i="66"/>
  <c r="E64" i="66"/>
  <c r="F31" i="66"/>
  <c r="B138" i="66"/>
  <c r="O135" i="66"/>
  <c r="O80" i="66"/>
  <c r="T171" i="66"/>
  <c r="R173" i="66" s="1"/>
  <c r="R174" i="66" s="1"/>
  <c r="T193" i="66"/>
  <c r="T194" i="66" s="1"/>
  <c r="R196" i="66" s="1"/>
  <c r="R197" i="66" s="1"/>
  <c r="V199" i="66"/>
  <c r="R198" i="66" s="1"/>
  <c r="R210" i="66"/>
  <c r="AE206" i="66"/>
  <c r="M35" i="66"/>
  <c r="K37" i="66" s="1"/>
  <c r="K38" i="66" s="1"/>
  <c r="E100" i="65"/>
  <c r="E89" i="65"/>
  <c r="E111" i="65"/>
  <c r="C64" i="65"/>
  <c r="O67" i="65"/>
  <c r="O80" i="65"/>
  <c r="C82" i="65"/>
  <c r="E82" i="65" s="1"/>
  <c r="R210" i="65"/>
  <c r="H37" i="65" s="1"/>
  <c r="AE206" i="65"/>
  <c r="T171" i="65"/>
  <c r="R173" i="65" s="1"/>
  <c r="R174" i="65" s="1"/>
  <c r="T193" i="65"/>
  <c r="T194" i="65" s="1"/>
  <c r="R196" i="65" s="1"/>
  <c r="R197" i="65" s="1"/>
  <c r="V199" i="65"/>
  <c r="R198" i="65" s="1"/>
  <c r="D131" i="65"/>
  <c r="F131" i="65" s="1"/>
  <c r="B159" i="65"/>
  <c r="B162" i="65"/>
  <c r="B163" i="65" s="1"/>
  <c r="K128" i="65"/>
  <c r="R188" i="65"/>
  <c r="H35" i="65" s="1"/>
  <c r="AE184" i="65"/>
  <c r="M35" i="65"/>
  <c r="K37" i="65" s="1"/>
  <c r="K38" i="65" s="1"/>
  <c r="B146" i="65"/>
  <c r="B149" i="65"/>
  <c r="B150" i="65" s="1"/>
  <c r="M86" i="64"/>
  <c r="E89" i="64" s="1"/>
  <c r="B94" i="64" s="1"/>
  <c r="B91" i="64"/>
  <c r="B92" i="64" s="1"/>
  <c r="B93" i="64" s="1"/>
  <c r="M98" i="64"/>
  <c r="E100" i="64" s="1"/>
  <c r="M109" i="64"/>
  <c r="E111" i="64" s="1"/>
  <c r="R130" i="64"/>
  <c r="M80" i="64"/>
  <c r="C82" i="64" s="1"/>
  <c r="B158" i="64"/>
  <c r="B161" i="64" s="1"/>
  <c r="B145" i="64"/>
  <c r="B148" i="64" s="1"/>
  <c r="C47" i="64"/>
  <c r="C70" i="64"/>
  <c r="M78" i="64"/>
  <c r="M79" i="64" s="1"/>
  <c r="C81" i="64" s="1"/>
  <c r="C80" i="64"/>
  <c r="C77" i="64"/>
  <c r="T169" i="64"/>
  <c r="T170" i="64"/>
  <c r="R175" i="64" s="1"/>
  <c r="T182" i="64"/>
  <c r="T183" i="64" s="1"/>
  <c r="R185" i="64" s="1"/>
  <c r="R186" i="64" s="1"/>
  <c r="M33" i="64"/>
  <c r="M34" i="64"/>
  <c r="K39" i="64" s="1"/>
  <c r="T205" i="64"/>
  <c r="R207" i="64" s="1"/>
  <c r="R208" i="64" s="1"/>
  <c r="C54" i="64"/>
  <c r="T180" i="64"/>
  <c r="C181" i="64"/>
  <c r="F181" i="64" s="1"/>
  <c r="M71" i="63"/>
  <c r="M73" i="63" s="1"/>
  <c r="M78" i="63" s="1"/>
  <c r="M79" i="63" s="1"/>
  <c r="T202" i="63"/>
  <c r="T203" i="63" s="1"/>
  <c r="T204" i="63" s="1"/>
  <c r="R209" i="63" s="1"/>
  <c r="T179" i="63"/>
  <c r="R187" i="63" s="1"/>
  <c r="M32" i="63"/>
  <c r="T191" i="63"/>
  <c r="T192" i="63" s="1"/>
  <c r="T168" i="63"/>
  <c r="G173" i="63"/>
  <c r="B175" i="63" s="1"/>
  <c r="B170" i="63"/>
  <c r="C75" i="63"/>
  <c r="C78" i="63"/>
  <c r="C76" i="63"/>
  <c r="B99" i="63"/>
  <c r="B110" i="63" s="1"/>
  <c r="E64" i="63"/>
  <c r="C58" i="63"/>
  <c r="C59" i="63" s="1"/>
  <c r="C55" i="63"/>
  <c r="C53" i="63"/>
  <c r="G177" i="63"/>
  <c r="B179" i="63" s="1"/>
  <c r="C52" i="63"/>
  <c r="T202" i="62"/>
  <c r="T203" i="62" s="1"/>
  <c r="T204" i="62" s="1"/>
  <c r="R209" i="62" s="1"/>
  <c r="T179" i="62"/>
  <c r="R187" i="62" s="1"/>
  <c r="T191" i="62"/>
  <c r="T192" i="62" s="1"/>
  <c r="T168" i="62"/>
  <c r="M32" i="62"/>
  <c r="G173" i="62"/>
  <c r="B175" i="62" s="1"/>
  <c r="B170" i="62"/>
  <c r="C75" i="62"/>
  <c r="C78" i="62"/>
  <c r="C76" i="62"/>
  <c r="C58" i="62"/>
  <c r="C59" i="62" s="1"/>
  <c r="C55" i="62"/>
  <c r="C53" i="62"/>
  <c r="G177" i="62"/>
  <c r="B179" i="62" s="1"/>
  <c r="C52" i="62"/>
  <c r="B128" i="62"/>
  <c r="B88" i="62"/>
  <c r="B99" i="62"/>
  <c r="B110" i="62" s="1"/>
  <c r="E64" i="62"/>
  <c r="C42" i="61"/>
  <c r="C43" i="61" s="1"/>
  <c r="B147" i="61" s="1"/>
  <c r="C58" i="61"/>
  <c r="C59" i="61" s="1"/>
  <c r="C55" i="61"/>
  <c r="C53" i="61"/>
  <c r="G177" i="61"/>
  <c r="C52" i="61"/>
  <c r="T202" i="61"/>
  <c r="T203" i="61" s="1"/>
  <c r="T204" i="61" s="1"/>
  <c r="R209" i="61" s="1"/>
  <c r="T179" i="61"/>
  <c r="R187" i="61" s="1"/>
  <c r="T191" i="61"/>
  <c r="T192" i="61" s="1"/>
  <c r="T168" i="61"/>
  <c r="M32" i="61"/>
  <c r="G173" i="61"/>
  <c r="B170" i="61"/>
  <c r="G174" i="61"/>
  <c r="G178" i="61"/>
  <c r="E82" i="61"/>
  <c r="B128" i="61"/>
  <c r="B99" i="61"/>
  <c r="B110" i="61" s="1"/>
  <c r="B113" i="61" s="1"/>
  <c r="B114" i="61" s="1"/>
  <c r="B115" i="61" s="1"/>
  <c r="B88" i="61"/>
  <c r="E64" i="61"/>
  <c r="E31" i="61"/>
  <c r="C58" i="60"/>
  <c r="C59" i="60" s="1"/>
  <c r="C55" i="60"/>
  <c r="C53" i="60"/>
  <c r="G177" i="60"/>
  <c r="C52" i="60"/>
  <c r="T202" i="60"/>
  <c r="T203" i="60" s="1"/>
  <c r="T204" i="60" s="1"/>
  <c r="R209" i="60" s="1"/>
  <c r="T179" i="60"/>
  <c r="R187" i="60" s="1"/>
  <c r="T191" i="60"/>
  <c r="T192" i="60" s="1"/>
  <c r="T168" i="60"/>
  <c r="M32" i="60"/>
  <c r="G173" i="60"/>
  <c r="B170" i="60"/>
  <c r="C75" i="60"/>
  <c r="C78" i="60"/>
  <c r="C76" i="60"/>
  <c r="G174" i="60"/>
  <c r="G178" i="60"/>
  <c r="E82" i="60"/>
  <c r="B128" i="60"/>
  <c r="B99" i="60"/>
  <c r="B110" i="60" s="1"/>
  <c r="B113" i="60" s="1"/>
  <c r="B114" i="60" s="1"/>
  <c r="B115" i="60" s="1"/>
  <c r="B88" i="60"/>
  <c r="E64" i="60"/>
  <c r="E31" i="60"/>
  <c r="B128" i="59"/>
  <c r="B99" i="59"/>
  <c r="B110" i="59" s="1"/>
  <c r="B88" i="59"/>
  <c r="C78" i="59"/>
  <c r="C76" i="59"/>
  <c r="M71" i="59"/>
  <c r="M73" i="59" s="1"/>
  <c r="G173" i="59"/>
  <c r="B175" i="59" s="1"/>
  <c r="B170" i="59"/>
  <c r="C75" i="59"/>
  <c r="C52" i="59"/>
  <c r="G177" i="59"/>
  <c r="B179" i="59" s="1"/>
  <c r="M58" i="59"/>
  <c r="M60" i="59" s="1"/>
  <c r="C58" i="59"/>
  <c r="C59" i="59" s="1"/>
  <c r="C55" i="59"/>
  <c r="C53" i="59"/>
  <c r="T191" i="59"/>
  <c r="T192" i="59" s="1"/>
  <c r="T168" i="59"/>
  <c r="M32" i="59"/>
  <c r="T202" i="59"/>
  <c r="T203" i="59" s="1"/>
  <c r="T204" i="59" s="1"/>
  <c r="R209" i="59" s="1"/>
  <c r="T179" i="59"/>
  <c r="R187" i="59" s="1"/>
  <c r="C58" i="58"/>
  <c r="C59" i="58" s="1"/>
  <c r="G177" i="58"/>
  <c r="B179" i="58" s="1"/>
  <c r="B128" i="58"/>
  <c r="B99" i="58"/>
  <c r="B110" i="58" s="1"/>
  <c r="B113" i="58" s="1"/>
  <c r="B114" i="58" s="1"/>
  <c r="B115" i="58" s="1"/>
  <c r="B88" i="58"/>
  <c r="E64" i="58"/>
  <c r="E31" i="58"/>
  <c r="E32" i="58"/>
  <c r="T202" i="58"/>
  <c r="T203" i="58" s="1"/>
  <c r="T204" i="58" s="1"/>
  <c r="R209" i="58" s="1"/>
  <c r="T179" i="58"/>
  <c r="R187" i="58" s="1"/>
  <c r="T191" i="58"/>
  <c r="T192" i="58" s="1"/>
  <c r="T168" i="58"/>
  <c r="M32" i="58"/>
  <c r="G173" i="58"/>
  <c r="B175" i="58" s="1"/>
  <c r="B170" i="58"/>
  <c r="C75" i="58"/>
  <c r="C78" i="58"/>
  <c r="C76" i="58"/>
  <c r="B88" i="55"/>
  <c r="G174" i="55"/>
  <c r="G178" i="55"/>
  <c r="C55" i="55"/>
  <c r="G177" i="55"/>
  <c r="C52" i="55"/>
  <c r="C58" i="55"/>
  <c r="C59" i="55" s="1"/>
  <c r="C53" i="55"/>
  <c r="E82" i="55"/>
  <c r="B128" i="55"/>
  <c r="B99" i="55"/>
  <c r="B110" i="55" s="1"/>
  <c r="B113" i="55" s="1"/>
  <c r="B114" i="55" s="1"/>
  <c r="B115" i="55" s="1"/>
  <c r="B170" i="55"/>
  <c r="C75" i="55"/>
  <c r="C76" i="55"/>
  <c r="G173" i="55"/>
  <c r="C78" i="55"/>
  <c r="E64" i="55"/>
  <c r="E31" i="55"/>
  <c r="M32" i="55"/>
  <c r="T202" i="55"/>
  <c r="T203" i="55" s="1"/>
  <c r="T204" i="55" s="1"/>
  <c r="R209" i="55" s="1"/>
  <c r="T179" i="55"/>
  <c r="R187" i="55" s="1"/>
  <c r="T191" i="55"/>
  <c r="T192" i="55" s="1"/>
  <c r="T168" i="55"/>
  <c r="C42" i="53"/>
  <c r="C43" i="53" s="1"/>
  <c r="B160" i="53" s="1"/>
  <c r="C55" i="53"/>
  <c r="G177" i="53"/>
  <c r="B179" i="53" s="1"/>
  <c r="C52" i="53"/>
  <c r="C58" i="53"/>
  <c r="C59" i="53" s="1"/>
  <c r="C53" i="53"/>
  <c r="E82" i="53"/>
  <c r="B128" i="53"/>
  <c r="B99" i="53"/>
  <c r="B110" i="53" s="1"/>
  <c r="B113" i="53" s="1"/>
  <c r="B114" i="53" s="1"/>
  <c r="B115" i="53" s="1"/>
  <c r="B88" i="53"/>
  <c r="B170" i="53"/>
  <c r="C75" i="53"/>
  <c r="C76" i="53"/>
  <c r="G173" i="53"/>
  <c r="B175" i="53" s="1"/>
  <c r="C78" i="53"/>
  <c r="E64" i="53"/>
  <c r="E31" i="53"/>
  <c r="M32" i="53"/>
  <c r="T202" i="53"/>
  <c r="T203" i="53" s="1"/>
  <c r="T204" i="53" s="1"/>
  <c r="R209" i="53" s="1"/>
  <c r="T179" i="53"/>
  <c r="R187" i="53" s="1"/>
  <c r="T191" i="53"/>
  <c r="T192" i="53" s="1"/>
  <c r="T168" i="53"/>
  <c r="M130" i="79" l="1"/>
  <c r="C36" i="79"/>
  <c r="G140" i="77"/>
  <c r="C36" i="77" s="1"/>
  <c r="R138" i="68"/>
  <c r="R139" i="68" s="1"/>
  <c r="B138" i="68"/>
  <c r="B94" i="68"/>
  <c r="B95" i="68" s="1"/>
  <c r="C33" i="68" s="1"/>
  <c r="C46" i="59"/>
  <c r="C69" i="59"/>
  <c r="C70" i="59" s="1"/>
  <c r="B160" i="59"/>
  <c r="B132" i="59"/>
  <c r="B147" i="59"/>
  <c r="V126" i="67"/>
  <c r="V132" i="67" s="1"/>
  <c r="B151" i="66"/>
  <c r="B152" i="66" s="1"/>
  <c r="B139" i="66"/>
  <c r="B140" i="66" s="1"/>
  <c r="C36" i="66" s="1"/>
  <c r="B105" i="66"/>
  <c r="B106" i="66" s="1"/>
  <c r="C34" i="66" s="1"/>
  <c r="B138" i="65"/>
  <c r="B139" i="65" s="1"/>
  <c r="B140" i="65" s="1"/>
  <c r="V133" i="65"/>
  <c r="V134" i="65" s="1"/>
  <c r="V135" i="65" s="1"/>
  <c r="B105" i="65"/>
  <c r="B106" i="65" s="1"/>
  <c r="C34" i="65" s="1"/>
  <c r="B116" i="65"/>
  <c r="B117" i="65" s="1"/>
  <c r="C35" i="65" s="1"/>
  <c r="K137" i="65"/>
  <c r="K138" i="65" s="1"/>
  <c r="K139" i="65" s="1"/>
  <c r="R138" i="65"/>
  <c r="R139" i="65" s="1"/>
  <c r="B94" i="65"/>
  <c r="B95" i="65" s="1"/>
  <c r="C33" i="65" s="1"/>
  <c r="B116" i="64"/>
  <c r="B117" i="64" s="1"/>
  <c r="C35" i="64" s="1"/>
  <c r="B105" i="64"/>
  <c r="B106" i="64" s="1"/>
  <c r="C34" i="64" s="1"/>
  <c r="C69" i="62"/>
  <c r="C46" i="62"/>
  <c r="C47" i="62" s="1"/>
  <c r="B160" i="62"/>
  <c r="V127" i="62"/>
  <c r="B147" i="62"/>
  <c r="R131" i="62"/>
  <c r="B132" i="62"/>
  <c r="B160" i="58"/>
  <c r="C46" i="58"/>
  <c r="C47" i="58" s="1"/>
  <c r="C49" i="58" s="1"/>
  <c r="C50" i="58" s="1"/>
  <c r="C51" i="58" s="1"/>
  <c r="C56" i="58" s="1"/>
  <c r="B91" i="58"/>
  <c r="B92" i="58" s="1"/>
  <c r="B93" i="58" s="1"/>
  <c r="C69" i="58"/>
  <c r="C70" i="58" s="1"/>
  <c r="B147" i="58"/>
  <c r="B132" i="58"/>
  <c r="R131" i="61"/>
  <c r="C46" i="61"/>
  <c r="C47" i="61" s="1"/>
  <c r="V127" i="61"/>
  <c r="B160" i="61"/>
  <c r="B132" i="61"/>
  <c r="C69" i="60"/>
  <c r="C46" i="60"/>
  <c r="B147" i="60"/>
  <c r="B132" i="60"/>
  <c r="B160" i="60"/>
  <c r="C46" i="55"/>
  <c r="C69" i="55"/>
  <c r="R131" i="55"/>
  <c r="B147" i="55"/>
  <c r="V127" i="55"/>
  <c r="B160" i="55"/>
  <c r="B132" i="55"/>
  <c r="F166" i="81"/>
  <c r="C38" i="81" s="1"/>
  <c r="B132" i="53"/>
  <c r="B147" i="53"/>
  <c r="C46" i="53"/>
  <c r="C47" i="53" s="1"/>
  <c r="C69" i="53"/>
  <c r="C70" i="53" s="1"/>
  <c r="C60" i="68"/>
  <c r="C51" i="68"/>
  <c r="C56" i="68" s="1"/>
  <c r="R131" i="63"/>
  <c r="B132" i="63"/>
  <c r="V127" i="63"/>
  <c r="C69" i="63"/>
  <c r="C70" i="63" s="1"/>
  <c r="C46" i="63"/>
  <c r="B160" i="63"/>
  <c r="B147" i="63"/>
  <c r="K138" i="68"/>
  <c r="K139" i="68" s="1"/>
  <c r="C49" i="67"/>
  <c r="C50" i="67" s="1"/>
  <c r="C72" i="67"/>
  <c r="C73" i="67" s="1"/>
  <c r="C51" i="66"/>
  <c r="C56" i="66" s="1"/>
  <c r="C60" i="66"/>
  <c r="C74" i="66"/>
  <c r="C79" i="66" s="1"/>
  <c r="C83" i="66" s="1"/>
  <c r="C60" i="65"/>
  <c r="C51" i="65"/>
  <c r="C56" i="65" s="1"/>
  <c r="C72" i="64"/>
  <c r="C73" i="64" s="1"/>
  <c r="C74" i="64" s="1"/>
  <c r="C49" i="64"/>
  <c r="C50" i="64" s="1"/>
  <c r="R135" i="67"/>
  <c r="V131" i="67"/>
  <c r="R130" i="61"/>
  <c r="R134" i="67"/>
  <c r="V130" i="67"/>
  <c r="V133" i="68"/>
  <c r="O135" i="68"/>
  <c r="B151" i="68"/>
  <c r="B106" i="68"/>
  <c r="C34" i="68" s="1"/>
  <c r="R135" i="64"/>
  <c r="V131" i="64"/>
  <c r="V126" i="64"/>
  <c r="V132" i="64" s="1"/>
  <c r="R134" i="64"/>
  <c r="V130" i="64"/>
  <c r="M86" i="62"/>
  <c r="E89" i="62" s="1"/>
  <c r="B94" i="62" s="1"/>
  <c r="R130" i="55"/>
  <c r="R136" i="55" s="1"/>
  <c r="M67" i="59"/>
  <c r="C64" i="59" s="1"/>
  <c r="M80" i="59"/>
  <c r="C82" i="59" s="1"/>
  <c r="C47" i="59"/>
  <c r="B91" i="59"/>
  <c r="B92" i="59" s="1"/>
  <c r="B93" i="59" s="1"/>
  <c r="M109" i="59"/>
  <c r="E111" i="59" s="1"/>
  <c r="B116" i="59" s="1"/>
  <c r="B131" i="59"/>
  <c r="B137" i="59" s="1"/>
  <c r="B136" i="59"/>
  <c r="M86" i="59"/>
  <c r="E89" i="59" s="1"/>
  <c r="B94" i="59" s="1"/>
  <c r="B158" i="59"/>
  <c r="B161" i="59" s="1"/>
  <c r="B145" i="59"/>
  <c r="C80" i="62"/>
  <c r="D146" i="68"/>
  <c r="C181" i="59"/>
  <c r="F181" i="59" s="1"/>
  <c r="O67" i="67"/>
  <c r="F31" i="67"/>
  <c r="C54" i="60"/>
  <c r="B95" i="64"/>
  <c r="C33" i="64" s="1"/>
  <c r="G153" i="77"/>
  <c r="C38" i="77"/>
  <c r="G166" i="77"/>
  <c r="B95" i="67"/>
  <c r="C33" i="67" s="1"/>
  <c r="C54" i="62"/>
  <c r="B102" i="58"/>
  <c r="B103" i="58" s="1"/>
  <c r="B104" i="58" s="1"/>
  <c r="E111" i="67"/>
  <c r="B116" i="67" s="1"/>
  <c r="M116" i="67"/>
  <c r="B113" i="67" s="1"/>
  <c r="B114" i="67" s="1"/>
  <c r="B115" i="67" s="1"/>
  <c r="R136" i="67"/>
  <c r="B117" i="68"/>
  <c r="C35" i="68" s="1"/>
  <c r="C38" i="68"/>
  <c r="B149" i="67"/>
  <c r="B150" i="67" s="1"/>
  <c r="B146" i="67"/>
  <c r="B137" i="67"/>
  <c r="D131" i="67"/>
  <c r="F131" i="67" s="1"/>
  <c r="E100" i="67"/>
  <c r="B105" i="67" s="1"/>
  <c r="B162" i="67"/>
  <c r="B163" i="67" s="1"/>
  <c r="B159" i="67"/>
  <c r="C54" i="61"/>
  <c r="B113" i="59"/>
  <c r="B114" i="59" s="1"/>
  <c r="B115" i="59" s="1"/>
  <c r="B102" i="59"/>
  <c r="B103" i="59" s="1"/>
  <c r="B104" i="59" s="1"/>
  <c r="C54" i="63"/>
  <c r="R199" i="67"/>
  <c r="H36" i="67" s="1"/>
  <c r="AE195" i="67"/>
  <c r="AE172" i="67"/>
  <c r="R176" i="67"/>
  <c r="H34" i="67" s="1"/>
  <c r="K40" i="67"/>
  <c r="X36" i="67"/>
  <c r="D146" i="66"/>
  <c r="B164" i="66"/>
  <c r="B153" i="66"/>
  <c r="C37" i="66" s="1"/>
  <c r="K40" i="66"/>
  <c r="X36" i="66"/>
  <c r="R199" i="66"/>
  <c r="H36" i="66" s="1"/>
  <c r="AE195" i="66"/>
  <c r="AE172" i="66"/>
  <c r="R176" i="66"/>
  <c r="H34" i="66" s="1"/>
  <c r="E64" i="65"/>
  <c r="F31" i="65"/>
  <c r="B151" i="65"/>
  <c r="B152" i="65" s="1"/>
  <c r="D146" i="65"/>
  <c r="B164" i="65"/>
  <c r="B165" i="65" s="1"/>
  <c r="D159" i="65"/>
  <c r="K40" i="65"/>
  <c r="X36" i="65"/>
  <c r="R199" i="65"/>
  <c r="H36" i="65" s="1"/>
  <c r="AE195" i="65"/>
  <c r="R176" i="65"/>
  <c r="H34" i="65" s="1"/>
  <c r="AE172" i="65"/>
  <c r="E82" i="64"/>
  <c r="R136" i="64"/>
  <c r="K128" i="64"/>
  <c r="B149" i="64"/>
  <c r="B150" i="64" s="1"/>
  <c r="B146" i="64"/>
  <c r="D146" i="64" s="1"/>
  <c r="B162" i="64"/>
  <c r="B163" i="64" s="1"/>
  <c r="B159" i="64"/>
  <c r="D159" i="64" s="1"/>
  <c r="O80" i="64"/>
  <c r="R210" i="64"/>
  <c r="H37" i="64" s="1"/>
  <c r="AE206" i="64"/>
  <c r="M35" i="64"/>
  <c r="K37" i="64" s="1"/>
  <c r="K38" i="64" s="1"/>
  <c r="R188" i="64"/>
  <c r="H35" i="64" s="1"/>
  <c r="AE184" i="64"/>
  <c r="T171" i="64"/>
  <c r="R173" i="64" s="1"/>
  <c r="R174" i="64" s="1"/>
  <c r="T193" i="64"/>
  <c r="T194" i="64" s="1"/>
  <c r="R196" i="64" s="1"/>
  <c r="R197" i="64" s="1"/>
  <c r="V199" i="64"/>
  <c r="R198" i="64" s="1"/>
  <c r="B179" i="55"/>
  <c r="B131" i="63"/>
  <c r="C80" i="63"/>
  <c r="R130" i="63"/>
  <c r="B136" i="63"/>
  <c r="M80" i="63"/>
  <c r="C82" i="63" s="1"/>
  <c r="B91" i="63"/>
  <c r="B92" i="63" s="1"/>
  <c r="B93" i="63" s="1"/>
  <c r="C47" i="63"/>
  <c r="B135" i="63"/>
  <c r="C81" i="63"/>
  <c r="M86" i="63"/>
  <c r="E89" i="63" s="1"/>
  <c r="B94" i="63" s="1"/>
  <c r="M109" i="63"/>
  <c r="B158" i="63"/>
  <c r="B161" i="63" s="1"/>
  <c r="B145" i="63"/>
  <c r="B148" i="63" s="1"/>
  <c r="T169" i="63"/>
  <c r="T170" i="63"/>
  <c r="R175" i="63" s="1"/>
  <c r="T182" i="63"/>
  <c r="T183" i="63" s="1"/>
  <c r="R185" i="63" s="1"/>
  <c r="R186" i="63" s="1"/>
  <c r="M33" i="63"/>
  <c r="M34" i="63"/>
  <c r="K39" i="63" s="1"/>
  <c r="T205" i="63"/>
  <c r="R207" i="63" s="1"/>
  <c r="R208" i="63" s="1"/>
  <c r="C181" i="63"/>
  <c r="F181" i="63" s="1"/>
  <c r="B113" i="63"/>
  <c r="B114" i="63" s="1"/>
  <c r="B115" i="63" s="1"/>
  <c r="C77" i="63"/>
  <c r="M98" i="63"/>
  <c r="T180" i="63"/>
  <c r="B102" i="63"/>
  <c r="B103" i="63" s="1"/>
  <c r="B104" i="63" s="1"/>
  <c r="M109" i="62"/>
  <c r="E111" i="62" s="1"/>
  <c r="B116" i="62" s="1"/>
  <c r="R136" i="62"/>
  <c r="B158" i="62"/>
  <c r="B131" i="62"/>
  <c r="B91" i="62"/>
  <c r="B92" i="62" s="1"/>
  <c r="B93" i="62" s="1"/>
  <c r="B145" i="62"/>
  <c r="B148" i="62" s="1"/>
  <c r="B136" i="62"/>
  <c r="M80" i="62"/>
  <c r="C70" i="62"/>
  <c r="C181" i="62"/>
  <c r="F181" i="62" s="1"/>
  <c r="M33" i="62"/>
  <c r="M34" i="62"/>
  <c r="K39" i="62" s="1"/>
  <c r="T205" i="62"/>
  <c r="R207" i="62" s="1"/>
  <c r="R208" i="62" s="1"/>
  <c r="C77" i="62"/>
  <c r="M98" i="62"/>
  <c r="B135" i="62"/>
  <c r="B129" i="62"/>
  <c r="T169" i="62"/>
  <c r="T170" i="62"/>
  <c r="R175" i="62" s="1"/>
  <c r="T182" i="62"/>
  <c r="T183" i="62" s="1"/>
  <c r="R185" i="62" s="1"/>
  <c r="R186" i="62" s="1"/>
  <c r="T180" i="62"/>
  <c r="B113" i="62"/>
  <c r="B114" i="62" s="1"/>
  <c r="B115" i="62" s="1"/>
  <c r="B102" i="62"/>
  <c r="B103" i="62" s="1"/>
  <c r="B104" i="62" s="1"/>
  <c r="B145" i="61"/>
  <c r="B148" i="61" s="1"/>
  <c r="M98" i="61"/>
  <c r="E100" i="61" s="1"/>
  <c r="B105" i="61" s="1"/>
  <c r="B158" i="61"/>
  <c r="B161" i="61" s="1"/>
  <c r="M86" i="61"/>
  <c r="E89" i="61" s="1"/>
  <c r="B94" i="61" s="1"/>
  <c r="B91" i="61"/>
  <c r="B92" i="61" s="1"/>
  <c r="B93" i="61" s="1"/>
  <c r="M33" i="61"/>
  <c r="M34" i="61"/>
  <c r="K39" i="61" s="1"/>
  <c r="T205" i="61"/>
  <c r="R207" i="61" s="1"/>
  <c r="R208" i="61" s="1"/>
  <c r="B102" i="61"/>
  <c r="B103" i="61" s="1"/>
  <c r="B104" i="61" s="1"/>
  <c r="B179" i="61"/>
  <c r="B135" i="61"/>
  <c r="B129" i="61"/>
  <c r="B136" i="61"/>
  <c r="M109" i="61"/>
  <c r="B131" i="61"/>
  <c r="T169" i="61"/>
  <c r="T182" i="61"/>
  <c r="T183" i="61" s="1"/>
  <c r="R185" i="61" s="1"/>
  <c r="R186" i="61" s="1"/>
  <c r="T170" i="61"/>
  <c r="R175" i="61" s="1"/>
  <c r="T180" i="61"/>
  <c r="B175" i="61"/>
  <c r="B158" i="60"/>
  <c r="B161" i="60" s="1"/>
  <c r="B136" i="60"/>
  <c r="B131" i="60"/>
  <c r="B137" i="60" s="1"/>
  <c r="B145" i="60"/>
  <c r="B148" i="60" s="1"/>
  <c r="C70" i="60"/>
  <c r="C47" i="60"/>
  <c r="B91" i="60"/>
  <c r="B92" i="60" s="1"/>
  <c r="B93" i="60" s="1"/>
  <c r="B135" i="60"/>
  <c r="M86" i="60"/>
  <c r="E89" i="60" s="1"/>
  <c r="B94" i="60" s="1"/>
  <c r="M33" i="60"/>
  <c r="M34" i="60"/>
  <c r="K39" i="60" s="1"/>
  <c r="T205" i="60"/>
  <c r="R207" i="60" s="1"/>
  <c r="R208" i="60" s="1"/>
  <c r="B102" i="60"/>
  <c r="B103" i="60" s="1"/>
  <c r="B104" i="60" s="1"/>
  <c r="B179" i="60"/>
  <c r="B129" i="60"/>
  <c r="M98" i="60"/>
  <c r="M109" i="60"/>
  <c r="E111" i="60" s="1"/>
  <c r="T169" i="60"/>
  <c r="T182" i="60"/>
  <c r="T183" i="60" s="1"/>
  <c r="R185" i="60" s="1"/>
  <c r="R186" i="60" s="1"/>
  <c r="T170" i="60"/>
  <c r="R175" i="60" s="1"/>
  <c r="T180" i="60"/>
  <c r="C77" i="60"/>
  <c r="B175" i="60"/>
  <c r="T205" i="59"/>
  <c r="R207" i="59" s="1"/>
  <c r="R208" i="59" s="1"/>
  <c r="T169" i="59"/>
  <c r="T170" i="59"/>
  <c r="R175" i="59" s="1"/>
  <c r="T182" i="59"/>
  <c r="T183" i="59" s="1"/>
  <c r="R185" i="59" s="1"/>
  <c r="R186" i="59" s="1"/>
  <c r="C80" i="59"/>
  <c r="M78" i="59"/>
  <c r="M79" i="59" s="1"/>
  <c r="C81" i="59" s="1"/>
  <c r="B129" i="59"/>
  <c r="D131" i="59" s="1"/>
  <c r="F131" i="59" s="1"/>
  <c r="B135" i="59"/>
  <c r="C54" i="59"/>
  <c r="C77" i="59"/>
  <c r="M98" i="59"/>
  <c r="E100" i="59" s="1"/>
  <c r="B105" i="59" s="1"/>
  <c r="T180" i="59"/>
  <c r="M33" i="59"/>
  <c r="M34" i="59"/>
  <c r="K39" i="59" s="1"/>
  <c r="M65" i="59"/>
  <c r="M66" i="59" s="1"/>
  <c r="C63" i="59" s="1"/>
  <c r="C62" i="59"/>
  <c r="C77" i="58"/>
  <c r="M33" i="58"/>
  <c r="M34" i="58"/>
  <c r="K39" i="58" s="1"/>
  <c r="T205" i="58"/>
  <c r="R207" i="58" s="1"/>
  <c r="R208" i="58" s="1"/>
  <c r="B135" i="58"/>
  <c r="B129" i="58"/>
  <c r="M86" i="58"/>
  <c r="E89" i="58" s="1"/>
  <c r="C181" i="58"/>
  <c r="F181" i="58" s="1"/>
  <c r="M98" i="58"/>
  <c r="E100" i="58" s="1"/>
  <c r="B105" i="58" s="1"/>
  <c r="B136" i="58"/>
  <c r="M109" i="58"/>
  <c r="E111" i="58" s="1"/>
  <c r="B131" i="58"/>
  <c r="B145" i="58"/>
  <c r="B148" i="58" s="1"/>
  <c r="B158" i="58"/>
  <c r="B161" i="58" s="1"/>
  <c r="T169" i="58"/>
  <c r="T182" i="58"/>
  <c r="T183" i="58" s="1"/>
  <c r="R185" i="58" s="1"/>
  <c r="R186" i="58" s="1"/>
  <c r="T170" i="58"/>
  <c r="R175" i="58" s="1"/>
  <c r="T180" i="58"/>
  <c r="B175" i="55"/>
  <c r="M86" i="55"/>
  <c r="E89" i="55" s="1"/>
  <c r="B94" i="55" s="1"/>
  <c r="B158" i="55"/>
  <c r="B161" i="55" s="1"/>
  <c r="B131" i="55"/>
  <c r="V126" i="55" s="1"/>
  <c r="V132" i="55" s="1"/>
  <c r="B145" i="55"/>
  <c r="B148" i="55" s="1"/>
  <c r="C47" i="55"/>
  <c r="C70" i="55"/>
  <c r="C77" i="55"/>
  <c r="T205" i="55"/>
  <c r="R207" i="55" s="1"/>
  <c r="M98" i="55"/>
  <c r="B136" i="55"/>
  <c r="M109" i="55"/>
  <c r="E111" i="55" s="1"/>
  <c r="T180" i="55"/>
  <c r="B135" i="55"/>
  <c r="B129" i="55"/>
  <c r="C54" i="55"/>
  <c r="T169" i="55"/>
  <c r="T182" i="55"/>
  <c r="T183" i="55" s="1"/>
  <c r="R185" i="55" s="1"/>
  <c r="R186" i="55" s="1"/>
  <c r="T170" i="55"/>
  <c r="R175" i="55" s="1"/>
  <c r="M33" i="55"/>
  <c r="M34" i="55"/>
  <c r="K39" i="55" s="1"/>
  <c r="B102" i="55"/>
  <c r="B103" i="55" s="1"/>
  <c r="B104" i="55" s="1"/>
  <c r="B91" i="55"/>
  <c r="B92" i="55" s="1"/>
  <c r="B93" i="55" s="1"/>
  <c r="B91" i="53"/>
  <c r="B92" i="53" s="1"/>
  <c r="B93" i="53" s="1"/>
  <c r="B131" i="53"/>
  <c r="B137" i="53" s="1"/>
  <c r="B145" i="53"/>
  <c r="B148" i="53" s="1"/>
  <c r="B158" i="53"/>
  <c r="B161" i="53" s="1"/>
  <c r="C77" i="53"/>
  <c r="C181" i="53"/>
  <c r="F181" i="53" s="1"/>
  <c r="B102" i="53"/>
  <c r="B103" i="53" s="1"/>
  <c r="B104" i="53" s="1"/>
  <c r="T169" i="53"/>
  <c r="T182" i="53"/>
  <c r="T183" i="53" s="1"/>
  <c r="R185" i="53" s="1"/>
  <c r="R186" i="53" s="1"/>
  <c r="T170" i="53"/>
  <c r="R175" i="53" s="1"/>
  <c r="M33" i="53"/>
  <c r="M34" i="53"/>
  <c r="K39" i="53" s="1"/>
  <c r="M98" i="53"/>
  <c r="E100" i="53" s="1"/>
  <c r="B105" i="53" s="1"/>
  <c r="B136" i="53"/>
  <c r="M109" i="53"/>
  <c r="E111" i="53" s="1"/>
  <c r="T205" i="53"/>
  <c r="R207" i="53" s="1"/>
  <c r="T180" i="53"/>
  <c r="C54" i="53"/>
  <c r="B135" i="53"/>
  <c r="B129" i="53"/>
  <c r="M86" i="53"/>
  <c r="E89" i="53" s="1"/>
  <c r="B94" i="53" s="1"/>
  <c r="C61" i="68" l="1"/>
  <c r="C65" i="68" s="1"/>
  <c r="O161" i="68"/>
  <c r="V134" i="68"/>
  <c r="V135" i="68" s="1"/>
  <c r="B139" i="68"/>
  <c r="B140" i="68" s="1"/>
  <c r="G140" i="68" s="1"/>
  <c r="C36" i="68" s="1"/>
  <c r="B152" i="68"/>
  <c r="B153" i="68" s="1"/>
  <c r="C37" i="68" s="1"/>
  <c r="B148" i="59"/>
  <c r="B149" i="59" s="1"/>
  <c r="B150" i="59" s="1"/>
  <c r="R137" i="67"/>
  <c r="R138" i="67" s="1"/>
  <c r="R139" i="67" s="1"/>
  <c r="V133" i="67"/>
  <c r="V134" i="67" s="1"/>
  <c r="V135" i="67" s="1"/>
  <c r="C61" i="66"/>
  <c r="C65" i="66" s="1"/>
  <c r="O148" i="66"/>
  <c r="O161" i="66"/>
  <c r="B165" i="66"/>
  <c r="B166" i="66" s="1"/>
  <c r="C38" i="66" s="1"/>
  <c r="G140" i="65"/>
  <c r="C36" i="65" s="1"/>
  <c r="O135" i="64"/>
  <c r="R137" i="64"/>
  <c r="R138" i="64" s="1"/>
  <c r="R139" i="64" s="1"/>
  <c r="B159" i="62"/>
  <c r="B161" i="62"/>
  <c r="B162" i="62" s="1"/>
  <c r="B163" i="62" s="1"/>
  <c r="B116" i="58"/>
  <c r="B117" i="58" s="1"/>
  <c r="C35" i="58" s="1"/>
  <c r="B94" i="58"/>
  <c r="B95" i="58" s="1"/>
  <c r="C33" i="58" s="1"/>
  <c r="V126" i="61"/>
  <c r="V132" i="61" s="1"/>
  <c r="B116" i="60"/>
  <c r="B117" i="60" s="1"/>
  <c r="C35" i="60" s="1"/>
  <c r="R208" i="55"/>
  <c r="R210" i="55" s="1"/>
  <c r="H37" i="55" s="1"/>
  <c r="B116" i="55"/>
  <c r="B117" i="55" s="1"/>
  <c r="C35" i="55" s="1"/>
  <c r="R208" i="53"/>
  <c r="R210" i="53" s="1"/>
  <c r="H37" i="53" s="1"/>
  <c r="B116" i="53"/>
  <c r="B117" i="53" s="1"/>
  <c r="C35" i="53" s="1"/>
  <c r="C61" i="65"/>
  <c r="C65" i="65" s="1"/>
  <c r="C79" i="64"/>
  <c r="C83" i="64" s="1"/>
  <c r="C72" i="59"/>
  <c r="C73" i="59" s="1"/>
  <c r="C74" i="59" s="1"/>
  <c r="C49" i="59"/>
  <c r="C50" i="59" s="1"/>
  <c r="C60" i="59" s="1"/>
  <c r="C74" i="67"/>
  <c r="C79" i="67" s="1"/>
  <c r="C83" i="67" s="1"/>
  <c r="C51" i="67"/>
  <c r="C56" i="67" s="1"/>
  <c r="C60" i="67"/>
  <c r="C60" i="64"/>
  <c r="C51" i="64"/>
  <c r="C56" i="64" s="1"/>
  <c r="C49" i="63"/>
  <c r="C50" i="63" s="1"/>
  <c r="C72" i="63"/>
  <c r="C73" i="63" s="1"/>
  <c r="C74" i="63" s="1"/>
  <c r="C72" i="62"/>
  <c r="C73" i="62" s="1"/>
  <c r="C49" i="62"/>
  <c r="C50" i="62" s="1"/>
  <c r="C72" i="58"/>
  <c r="C73" i="58" s="1"/>
  <c r="C74" i="58" s="1"/>
  <c r="C79" i="58" s="1"/>
  <c r="C83" i="58" s="1"/>
  <c r="C49" i="61"/>
  <c r="C50" i="61" s="1"/>
  <c r="C49" i="60"/>
  <c r="C50" i="60" s="1"/>
  <c r="C72" i="60"/>
  <c r="C73" i="60" s="1"/>
  <c r="C74" i="60" s="1"/>
  <c r="C79" i="60" s="1"/>
  <c r="C83" i="60" s="1"/>
  <c r="C49" i="55"/>
  <c r="C50" i="55" s="1"/>
  <c r="C72" i="55"/>
  <c r="C73" i="55" s="1"/>
  <c r="C74" i="55" s="1"/>
  <c r="C79" i="55" s="1"/>
  <c r="C83" i="55" s="1"/>
  <c r="C72" i="53"/>
  <c r="C73" i="53" s="1"/>
  <c r="C74" i="53" s="1"/>
  <c r="C79" i="53" s="1"/>
  <c r="C83" i="53" s="1"/>
  <c r="C49" i="53"/>
  <c r="C50" i="53" s="1"/>
  <c r="R135" i="63"/>
  <c r="V131" i="63"/>
  <c r="R134" i="63"/>
  <c r="V130" i="63"/>
  <c r="R135" i="61"/>
  <c r="V131" i="61"/>
  <c r="V126" i="63"/>
  <c r="V132" i="63" s="1"/>
  <c r="R134" i="61"/>
  <c r="V130" i="61"/>
  <c r="R134" i="55"/>
  <c r="V130" i="55"/>
  <c r="R135" i="55"/>
  <c r="V131" i="55"/>
  <c r="V133" i="55" s="1"/>
  <c r="O148" i="68"/>
  <c r="B95" i="59"/>
  <c r="C33" i="59" s="1"/>
  <c r="B146" i="59"/>
  <c r="B162" i="59"/>
  <c r="B163" i="59" s="1"/>
  <c r="B117" i="67"/>
  <c r="C35" i="67" s="1"/>
  <c r="V133" i="64"/>
  <c r="B95" i="62"/>
  <c r="C33" i="62" s="1"/>
  <c r="R134" i="62"/>
  <c r="V130" i="62"/>
  <c r="R135" i="62"/>
  <c r="R137" i="62" s="1"/>
  <c r="V131" i="62"/>
  <c r="B137" i="62"/>
  <c r="B138" i="62" s="1"/>
  <c r="V126" i="62"/>
  <c r="V132" i="62" s="1"/>
  <c r="D131" i="62"/>
  <c r="F131" i="62" s="1"/>
  <c r="B137" i="55"/>
  <c r="K137" i="55" s="1"/>
  <c r="B117" i="59"/>
  <c r="C35" i="59" s="1"/>
  <c r="B159" i="59"/>
  <c r="D159" i="59" s="1"/>
  <c r="B106" i="59"/>
  <c r="C34" i="59" s="1"/>
  <c r="B106" i="58"/>
  <c r="C34" i="58" s="1"/>
  <c r="C181" i="55"/>
  <c r="F181" i="55" s="1"/>
  <c r="B106" i="61"/>
  <c r="C34" i="61" s="1"/>
  <c r="K128" i="62"/>
  <c r="O67" i="59"/>
  <c r="B95" i="53"/>
  <c r="C33" i="53" s="1"/>
  <c r="B149" i="62"/>
  <c r="B150" i="62" s="1"/>
  <c r="B106" i="67"/>
  <c r="C34" i="67" s="1"/>
  <c r="B138" i="67"/>
  <c r="O135" i="67"/>
  <c r="K137" i="67"/>
  <c r="K138" i="67" s="1"/>
  <c r="K139" i="67" s="1"/>
  <c r="D146" i="67"/>
  <c r="B151" i="67"/>
  <c r="B152" i="67" s="1"/>
  <c r="D159" i="67"/>
  <c r="B164" i="67"/>
  <c r="B165" i="67" s="1"/>
  <c r="E64" i="59"/>
  <c r="E82" i="59"/>
  <c r="B166" i="65"/>
  <c r="C38" i="65" s="1"/>
  <c r="O161" i="65"/>
  <c r="B153" i="65"/>
  <c r="C37" i="65" s="1"/>
  <c r="O148" i="65"/>
  <c r="K137" i="64"/>
  <c r="K138" i="64" s="1"/>
  <c r="K139" i="64" s="1"/>
  <c r="B164" i="64"/>
  <c r="B165" i="64" s="1"/>
  <c r="B151" i="64"/>
  <c r="B152" i="64" s="1"/>
  <c r="R199" i="64"/>
  <c r="H36" i="64" s="1"/>
  <c r="AE195" i="64"/>
  <c r="R176" i="64"/>
  <c r="H34" i="64" s="1"/>
  <c r="AE172" i="64"/>
  <c r="K40" i="64"/>
  <c r="X36" i="64"/>
  <c r="R137" i="55"/>
  <c r="B95" i="63"/>
  <c r="C33" i="63" s="1"/>
  <c r="B159" i="63"/>
  <c r="D159" i="63" s="1"/>
  <c r="E82" i="63"/>
  <c r="O80" i="63"/>
  <c r="B137" i="63"/>
  <c r="D131" i="63"/>
  <c r="F131" i="63" s="1"/>
  <c r="B146" i="63"/>
  <c r="D146" i="63" s="1"/>
  <c r="B149" i="63"/>
  <c r="B150" i="63" s="1"/>
  <c r="R136" i="63"/>
  <c r="K128" i="63"/>
  <c r="E100" i="63"/>
  <c r="E111" i="63"/>
  <c r="B162" i="63"/>
  <c r="B163" i="63" s="1"/>
  <c r="R210" i="63"/>
  <c r="H37" i="63" s="1"/>
  <c r="AE206" i="63"/>
  <c r="M35" i="63"/>
  <c r="K37" i="63" s="1"/>
  <c r="K38" i="63" s="1"/>
  <c r="R188" i="63"/>
  <c r="H35" i="63" s="1"/>
  <c r="AE184" i="63"/>
  <c r="T171" i="63"/>
  <c r="R173" i="63" s="1"/>
  <c r="R174" i="63" s="1"/>
  <c r="T193" i="63"/>
  <c r="T194" i="63" s="1"/>
  <c r="R196" i="63" s="1"/>
  <c r="R197" i="63" s="1"/>
  <c r="V199" i="63"/>
  <c r="R198" i="63" s="1"/>
  <c r="B117" i="62"/>
  <c r="C35" i="62" s="1"/>
  <c r="B146" i="62"/>
  <c r="E100" i="62"/>
  <c r="C82" i="62"/>
  <c r="O80" i="62"/>
  <c r="R188" i="62"/>
  <c r="H35" i="62" s="1"/>
  <c r="AE184" i="62"/>
  <c r="R210" i="62"/>
  <c r="AE206" i="62"/>
  <c r="M35" i="62"/>
  <c r="K37" i="62" s="1"/>
  <c r="K38" i="62" s="1"/>
  <c r="D159" i="62"/>
  <c r="T171" i="62"/>
  <c r="R173" i="62" s="1"/>
  <c r="R174" i="62" s="1"/>
  <c r="T193" i="62"/>
  <c r="T194" i="62" s="1"/>
  <c r="R196" i="62" s="1"/>
  <c r="R197" i="62" s="1"/>
  <c r="V199" i="62"/>
  <c r="R198" i="62" s="1"/>
  <c r="K128" i="61"/>
  <c r="E111" i="61"/>
  <c r="B137" i="61"/>
  <c r="B95" i="61"/>
  <c r="C33" i="61" s="1"/>
  <c r="R188" i="61"/>
  <c r="H35" i="61" s="1"/>
  <c r="AE184" i="61"/>
  <c r="T171" i="61"/>
  <c r="R173" i="61" s="1"/>
  <c r="R174" i="61" s="1"/>
  <c r="T193" i="61"/>
  <c r="T194" i="61" s="1"/>
  <c r="R196" i="61" s="1"/>
  <c r="R197" i="61" s="1"/>
  <c r="V199" i="61"/>
  <c r="R198" i="61" s="1"/>
  <c r="B159" i="61"/>
  <c r="B162" i="61"/>
  <c r="B163" i="61" s="1"/>
  <c r="D131" i="61"/>
  <c r="F131" i="61" s="1"/>
  <c r="B146" i="61"/>
  <c r="B149" i="61"/>
  <c r="B150" i="61" s="1"/>
  <c r="R210" i="61"/>
  <c r="H37" i="61" s="1"/>
  <c r="AE206" i="61"/>
  <c r="M35" i="61"/>
  <c r="K37" i="61" s="1"/>
  <c r="K38" i="61" s="1"/>
  <c r="R136" i="61"/>
  <c r="C181" i="61"/>
  <c r="F181" i="61" s="1"/>
  <c r="B95" i="60"/>
  <c r="C33" i="60" s="1"/>
  <c r="E100" i="60"/>
  <c r="R188" i="60"/>
  <c r="H35" i="60" s="1"/>
  <c r="AE184" i="60"/>
  <c r="T171" i="60"/>
  <c r="R173" i="60" s="1"/>
  <c r="R174" i="60" s="1"/>
  <c r="T193" i="60"/>
  <c r="T194" i="60" s="1"/>
  <c r="R196" i="60" s="1"/>
  <c r="R197" i="60" s="1"/>
  <c r="V199" i="60"/>
  <c r="R198" i="60" s="1"/>
  <c r="B146" i="60"/>
  <c r="B149" i="60"/>
  <c r="B150" i="60" s="1"/>
  <c r="B159" i="60"/>
  <c r="B162" i="60"/>
  <c r="B163" i="60" s="1"/>
  <c r="D131" i="60"/>
  <c r="F131" i="60" s="1"/>
  <c r="B138" i="60"/>
  <c r="O135" i="60"/>
  <c r="R210" i="60"/>
  <c r="AE206" i="60"/>
  <c r="M35" i="60"/>
  <c r="K37" i="60" s="1"/>
  <c r="K38" i="60" s="1"/>
  <c r="C181" i="60"/>
  <c r="F181" i="60" s="1"/>
  <c r="F31" i="59"/>
  <c r="B138" i="59"/>
  <c r="O135" i="59"/>
  <c r="F32" i="59"/>
  <c r="M35" i="59"/>
  <c r="K37" i="59" s="1"/>
  <c r="K38" i="59" s="1"/>
  <c r="R188" i="59"/>
  <c r="H35" i="59" s="1"/>
  <c r="AE184" i="59"/>
  <c r="T171" i="59"/>
  <c r="R173" i="59" s="1"/>
  <c r="R174" i="59" s="1"/>
  <c r="V199" i="59"/>
  <c r="R198" i="59" s="1"/>
  <c r="T193" i="59"/>
  <c r="T194" i="59" s="1"/>
  <c r="R196" i="59" s="1"/>
  <c r="R197" i="59" s="1"/>
  <c r="R210" i="59"/>
  <c r="H37" i="59" s="1"/>
  <c r="AE206" i="59"/>
  <c r="O80" i="59"/>
  <c r="R188" i="58"/>
  <c r="H35" i="58" s="1"/>
  <c r="AE184" i="58"/>
  <c r="T171" i="58"/>
  <c r="R173" i="58" s="1"/>
  <c r="R174" i="58" s="1"/>
  <c r="T193" i="58"/>
  <c r="T194" i="58" s="1"/>
  <c r="R196" i="58" s="1"/>
  <c r="R197" i="58" s="1"/>
  <c r="V199" i="58"/>
  <c r="R198" i="58" s="1"/>
  <c r="B146" i="58"/>
  <c r="B149" i="58"/>
  <c r="B150" i="58" s="1"/>
  <c r="D131" i="58"/>
  <c r="F131" i="58" s="1"/>
  <c r="B159" i="58"/>
  <c r="B162" i="58"/>
  <c r="B163" i="58" s="1"/>
  <c r="R210" i="58"/>
  <c r="H37" i="58" s="1"/>
  <c r="AE206" i="58"/>
  <c r="M35" i="58"/>
  <c r="K37" i="58" s="1"/>
  <c r="K38" i="58" s="1"/>
  <c r="B137" i="58"/>
  <c r="K128" i="55"/>
  <c r="E100" i="55"/>
  <c r="M35" i="55"/>
  <c r="K37" i="55" s="1"/>
  <c r="K38" i="55" s="1"/>
  <c r="R188" i="55"/>
  <c r="H35" i="55" s="1"/>
  <c r="AE184" i="55"/>
  <c r="B159" i="55"/>
  <c r="D131" i="55"/>
  <c r="F131" i="55" s="1"/>
  <c r="AE206" i="55"/>
  <c r="T171" i="55"/>
  <c r="R173" i="55" s="1"/>
  <c r="R174" i="55" s="1"/>
  <c r="V199" i="55"/>
  <c r="R198" i="55" s="1"/>
  <c r="T193" i="55"/>
  <c r="T194" i="55" s="1"/>
  <c r="R196" i="55" s="1"/>
  <c r="R197" i="55" s="1"/>
  <c r="B146" i="55"/>
  <c r="B149" i="55"/>
  <c r="B150" i="55" s="1"/>
  <c r="B95" i="55"/>
  <c r="C33" i="55" s="1"/>
  <c r="B162" i="55"/>
  <c r="B163" i="55" s="1"/>
  <c r="B106" i="53"/>
  <c r="C34" i="53" s="1"/>
  <c r="B159" i="53"/>
  <c r="B162" i="53"/>
  <c r="B163" i="53" s="1"/>
  <c r="D131" i="53"/>
  <c r="F131" i="53" s="1"/>
  <c r="M35" i="53"/>
  <c r="K37" i="53" s="1"/>
  <c r="K38" i="53" s="1"/>
  <c r="B146" i="53"/>
  <c r="B149" i="53"/>
  <c r="B150" i="53" s="1"/>
  <c r="R188" i="53"/>
  <c r="H35" i="53" s="1"/>
  <c r="AE184" i="53"/>
  <c r="AE206" i="53"/>
  <c r="T171" i="53"/>
  <c r="R173" i="53" s="1"/>
  <c r="R174" i="53" s="1"/>
  <c r="V199" i="53"/>
  <c r="R198" i="53" s="1"/>
  <c r="T193" i="53"/>
  <c r="T194" i="53" s="1"/>
  <c r="R196" i="53" s="1"/>
  <c r="R197" i="53" s="1"/>
  <c r="B138" i="53"/>
  <c r="O135" i="53"/>
  <c r="B151" i="59" l="1"/>
  <c r="B152" i="59" s="1"/>
  <c r="B153" i="59" s="1"/>
  <c r="C37" i="59" s="1"/>
  <c r="D146" i="59"/>
  <c r="B139" i="59"/>
  <c r="B140" i="59" s="1"/>
  <c r="C36" i="59" s="1"/>
  <c r="B139" i="67"/>
  <c r="B140" i="67" s="1"/>
  <c r="G140" i="67" s="1"/>
  <c r="C36" i="67" s="1"/>
  <c r="C61" i="64"/>
  <c r="C65" i="64" s="1"/>
  <c r="C36" i="64"/>
  <c r="G140" i="64"/>
  <c r="V134" i="64"/>
  <c r="V135" i="64" s="1"/>
  <c r="B164" i="62"/>
  <c r="B165" i="62" s="1"/>
  <c r="R138" i="62"/>
  <c r="R139" i="62" s="1"/>
  <c r="B105" i="62"/>
  <c r="B106" i="62" s="1"/>
  <c r="C34" i="62" s="1"/>
  <c r="B139" i="62"/>
  <c r="B140" i="62" s="1"/>
  <c r="V133" i="61"/>
  <c r="V134" i="61" s="1"/>
  <c r="V135" i="61" s="1"/>
  <c r="R137" i="61"/>
  <c r="R138" i="61" s="1"/>
  <c r="R139" i="61" s="1"/>
  <c r="B116" i="61"/>
  <c r="B117" i="61" s="1"/>
  <c r="C35" i="61" s="1"/>
  <c r="B105" i="60"/>
  <c r="B106" i="60" s="1"/>
  <c r="C34" i="60" s="1"/>
  <c r="B139" i="60"/>
  <c r="B140" i="60" s="1"/>
  <c r="C36" i="60" s="1"/>
  <c r="V134" i="55"/>
  <c r="V135" i="55" s="1"/>
  <c r="R138" i="55"/>
  <c r="R139" i="55" s="1"/>
  <c r="B105" i="55"/>
  <c r="B106" i="55" s="1"/>
  <c r="C34" i="55" s="1"/>
  <c r="B139" i="53"/>
  <c r="B140" i="53" s="1"/>
  <c r="C36" i="53" s="1"/>
  <c r="C61" i="67"/>
  <c r="C65" i="67" s="1"/>
  <c r="B116" i="63"/>
  <c r="B117" i="63" s="1"/>
  <c r="C35" i="63" s="1"/>
  <c r="B105" i="63"/>
  <c r="B106" i="63" s="1"/>
  <c r="C34" i="63" s="1"/>
  <c r="V133" i="63"/>
  <c r="C51" i="59"/>
  <c r="C56" i="59" s="1"/>
  <c r="C61" i="59" s="1"/>
  <c r="C65" i="59" s="1"/>
  <c r="C79" i="59"/>
  <c r="C83" i="59" s="1"/>
  <c r="C51" i="63"/>
  <c r="C56" i="63" s="1"/>
  <c r="C60" i="63"/>
  <c r="R137" i="63"/>
  <c r="C79" i="63"/>
  <c r="C83" i="63" s="1"/>
  <c r="C74" i="62"/>
  <c r="C79" i="62" s="1"/>
  <c r="C83" i="62" s="1"/>
  <c r="C51" i="62"/>
  <c r="C56" i="62" s="1"/>
  <c r="C60" i="62"/>
  <c r="C60" i="58"/>
  <c r="C51" i="61"/>
  <c r="C56" i="61" s="1"/>
  <c r="C60" i="61"/>
  <c r="C60" i="60"/>
  <c r="C51" i="60"/>
  <c r="C56" i="60" s="1"/>
  <c r="C60" i="55"/>
  <c r="C51" i="55"/>
  <c r="C56" i="55" s="1"/>
  <c r="C51" i="53"/>
  <c r="C56" i="53" s="1"/>
  <c r="C60" i="53"/>
  <c r="V133" i="62"/>
  <c r="O135" i="62"/>
  <c r="O135" i="55"/>
  <c r="B138" i="55"/>
  <c r="B164" i="59"/>
  <c r="K138" i="55"/>
  <c r="K139" i="55" s="1"/>
  <c r="B151" i="62"/>
  <c r="B164" i="63"/>
  <c r="B166" i="67"/>
  <c r="C38" i="67" s="1"/>
  <c r="O161" i="67"/>
  <c r="O148" i="67"/>
  <c r="B153" i="67"/>
  <c r="C37" i="67" s="1"/>
  <c r="B166" i="64"/>
  <c r="C38" i="64" s="1"/>
  <c r="O161" i="64"/>
  <c r="O148" i="64"/>
  <c r="B153" i="64"/>
  <c r="C37" i="64" s="1"/>
  <c r="B138" i="63"/>
  <c r="O135" i="63"/>
  <c r="B151" i="63"/>
  <c r="R176" i="63"/>
  <c r="H34" i="63" s="1"/>
  <c r="AE172" i="63"/>
  <c r="R199" i="63"/>
  <c r="H36" i="63" s="1"/>
  <c r="AE195" i="63"/>
  <c r="K40" i="63"/>
  <c r="X36" i="63"/>
  <c r="D146" i="62"/>
  <c r="E82" i="62"/>
  <c r="F32" i="62"/>
  <c r="R176" i="62"/>
  <c r="H34" i="62" s="1"/>
  <c r="AE172" i="62"/>
  <c r="R199" i="62"/>
  <c r="H36" i="62" s="1"/>
  <c r="AE195" i="62"/>
  <c r="B166" i="62"/>
  <c r="C38" i="62" s="1"/>
  <c r="K40" i="62"/>
  <c r="X36" i="62"/>
  <c r="B138" i="61"/>
  <c r="O135" i="61"/>
  <c r="B164" i="61"/>
  <c r="B165" i="61" s="1"/>
  <c r="D159" i="61"/>
  <c r="R199" i="61"/>
  <c r="H36" i="61" s="1"/>
  <c r="AE195" i="61"/>
  <c r="K40" i="61"/>
  <c r="X36" i="61"/>
  <c r="B151" i="61"/>
  <c r="B152" i="61" s="1"/>
  <c r="D146" i="61"/>
  <c r="R176" i="61"/>
  <c r="H34" i="61" s="1"/>
  <c r="AE172" i="61"/>
  <c r="K40" i="60"/>
  <c r="X36" i="60"/>
  <c r="B164" i="60"/>
  <c r="B165" i="60" s="1"/>
  <c r="D159" i="60"/>
  <c r="B151" i="60"/>
  <c r="B152" i="60" s="1"/>
  <c r="D146" i="60"/>
  <c r="R199" i="60"/>
  <c r="AE195" i="60"/>
  <c r="R176" i="60"/>
  <c r="H34" i="60" s="1"/>
  <c r="AE172" i="60"/>
  <c r="R176" i="59"/>
  <c r="H34" i="59" s="1"/>
  <c r="AE172" i="59"/>
  <c r="K40" i="59"/>
  <c r="X36" i="59"/>
  <c r="R199" i="59"/>
  <c r="H36" i="59" s="1"/>
  <c r="AE195" i="59"/>
  <c r="B138" i="58"/>
  <c r="O135" i="58"/>
  <c r="K40" i="58"/>
  <c r="X36" i="58"/>
  <c r="B164" i="58"/>
  <c r="B165" i="58" s="1"/>
  <c r="D159" i="58"/>
  <c r="B151" i="58"/>
  <c r="B152" i="58" s="1"/>
  <c r="D146" i="58"/>
  <c r="R199" i="58"/>
  <c r="H36" i="58" s="1"/>
  <c r="AE195" i="58"/>
  <c r="R176" i="58"/>
  <c r="H34" i="58" s="1"/>
  <c r="AE172" i="58"/>
  <c r="B151" i="55"/>
  <c r="B152" i="55" s="1"/>
  <c r="D146" i="55"/>
  <c r="B164" i="55"/>
  <c r="B165" i="55" s="1"/>
  <c r="D159" i="55"/>
  <c r="R199" i="55"/>
  <c r="H36" i="55" s="1"/>
  <c r="AE195" i="55"/>
  <c r="K40" i="55"/>
  <c r="X36" i="55"/>
  <c r="AE172" i="55"/>
  <c r="R176" i="55"/>
  <c r="H34" i="55" s="1"/>
  <c r="AE172" i="53"/>
  <c r="R176" i="53"/>
  <c r="H34" i="53" s="1"/>
  <c r="B151" i="53"/>
  <c r="B152" i="53" s="1"/>
  <c r="D146" i="53"/>
  <c r="R199" i="53"/>
  <c r="H36" i="53" s="1"/>
  <c r="AE195" i="53"/>
  <c r="B164" i="53"/>
  <c r="D159" i="53"/>
  <c r="K40" i="53"/>
  <c r="X36" i="53"/>
  <c r="O148" i="59" l="1"/>
  <c r="O161" i="59"/>
  <c r="B165" i="59"/>
  <c r="B166" i="59" s="1"/>
  <c r="C38" i="59" s="1"/>
  <c r="B139" i="63"/>
  <c r="B140" i="63" s="1"/>
  <c r="O161" i="63"/>
  <c r="B165" i="63"/>
  <c r="B166" i="63" s="1"/>
  <c r="C38" i="63" s="1"/>
  <c r="O148" i="63"/>
  <c r="B152" i="63"/>
  <c r="B153" i="63" s="1"/>
  <c r="C37" i="63" s="1"/>
  <c r="R138" i="63"/>
  <c r="R139" i="63" s="1"/>
  <c r="V134" i="63"/>
  <c r="V135" i="63" s="1"/>
  <c r="O161" i="62"/>
  <c r="G140" i="62"/>
  <c r="C36" i="62" s="1"/>
  <c r="V134" i="62"/>
  <c r="V135" i="62" s="1"/>
  <c r="O148" i="62"/>
  <c r="B152" i="62"/>
  <c r="B153" i="62" s="1"/>
  <c r="C37" i="62" s="1"/>
  <c r="C61" i="62"/>
  <c r="C65" i="62" s="1"/>
  <c r="B139" i="58"/>
  <c r="B140" i="58" s="1"/>
  <c r="C36" i="58" s="1"/>
  <c r="C61" i="58"/>
  <c r="C65" i="58" s="1"/>
  <c r="B139" i="61"/>
  <c r="B140" i="61" s="1"/>
  <c r="G140" i="61" s="1"/>
  <c r="C36" i="61" s="1"/>
  <c r="C61" i="61"/>
  <c r="C65" i="61" s="1"/>
  <c r="B139" i="55"/>
  <c r="B140" i="55" s="1"/>
  <c r="G140" i="55" s="1"/>
  <c r="C36" i="55" s="1"/>
  <c r="O161" i="53"/>
  <c r="B165" i="53"/>
  <c r="B166" i="53" s="1"/>
  <c r="C38" i="53" s="1"/>
  <c r="C61" i="63"/>
  <c r="C65" i="63" s="1"/>
  <c r="C61" i="60"/>
  <c r="C65" i="60" s="1"/>
  <c r="C61" i="55"/>
  <c r="C65" i="55" s="1"/>
  <c r="C61" i="53"/>
  <c r="C65" i="53" s="1"/>
  <c r="O148" i="61"/>
  <c r="B153" i="61"/>
  <c r="C37" i="61" s="1"/>
  <c r="O161" i="61"/>
  <c r="B166" i="61"/>
  <c r="C38" i="61" s="1"/>
  <c r="O148" i="60"/>
  <c r="B153" i="60"/>
  <c r="C37" i="60" s="1"/>
  <c r="O161" i="60"/>
  <c r="B166" i="60"/>
  <c r="C38" i="60" s="1"/>
  <c r="O148" i="58"/>
  <c r="B153" i="58"/>
  <c r="C37" i="58" s="1"/>
  <c r="O161" i="58"/>
  <c r="B166" i="58"/>
  <c r="C38" i="58" s="1"/>
  <c r="B153" i="55"/>
  <c r="C37" i="55" s="1"/>
  <c r="O148" i="55"/>
  <c r="B166" i="55"/>
  <c r="C38" i="55" s="1"/>
  <c r="O161" i="55"/>
  <c r="B153" i="53"/>
  <c r="C37" i="53" s="1"/>
  <c r="O148" i="53"/>
  <c r="G140" i="63" l="1"/>
  <c r="C36" i="63" s="1"/>
  <c r="B117" i="75"/>
  <c r="C35" i="75" s="1"/>
</calcChain>
</file>

<file path=xl/comments1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</commentList>
</comments>
</file>

<file path=xl/comments10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11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12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13.xml><?xml version="1.0" encoding="utf-8"?>
<comments xmlns="http://schemas.openxmlformats.org/spreadsheetml/2006/main">
  <authors>
    <author>twmays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14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15.xml><?xml version="1.0" encoding="utf-8"?>
<comments xmlns="http://schemas.openxmlformats.org/spreadsheetml/2006/main">
  <authors>
    <author>twmays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16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17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18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19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2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twmays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21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22.xml><?xml version="1.0" encoding="utf-8"?>
<comments xmlns="http://schemas.openxmlformats.org/spreadsheetml/2006/main">
  <authors>
    <author>twmays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23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24.xml><?xml version="1.0" encoding="utf-8"?>
<comments xmlns="http://schemas.openxmlformats.org/spreadsheetml/2006/main">
  <authors>
    <author>twmays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25.xml><?xml version="1.0" encoding="utf-8"?>
<comments xmlns="http://schemas.openxmlformats.org/spreadsheetml/2006/main">
  <authors>
    <author>twmays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1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26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comments3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</commentList>
</comments>
</file>

<file path=xl/comments4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</commentList>
</comments>
</file>

<file path=xl/comments5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</commentList>
</comments>
</file>

<file path=xl/comments7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</commentList>
</comments>
</file>

<file path=xl/comments9.xml><?xml version="1.0" encoding="utf-8"?>
<comments xmlns="http://schemas.openxmlformats.org/spreadsheetml/2006/main">
  <authors>
    <author>twmays</author>
    <author>Tim</author>
    <author>Owner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Any value between 40 ksi and 80 ksi is acceptable.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strength).  Any value between 3 in. and 24 in. is permitted.</t>
        </r>
      </text>
    </comment>
    <comment ref="C13" authorId="0">
      <text>
        <r>
          <rPr>
            <sz val="9"/>
            <color indexed="81"/>
            <rFont val="Tahoma"/>
            <family val="2"/>
          </rPr>
          <t xml:space="preserve">Any value between 20 tons and 550 tons may be used.
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Any value greater than the CRSI recommended value is permitted.  Practical maximum set at 12 ft.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0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  <comment ref="B178" authorId="2">
      <text>
        <r>
          <rPr>
            <b/>
            <u/>
            <sz val="9"/>
            <color indexed="81"/>
            <rFont val="Tahoma"/>
            <family val="2"/>
          </rPr>
          <t>Note:</t>
        </r>
        <r>
          <rPr>
            <b/>
            <sz val="9"/>
            <color indexed="81"/>
            <rFont val="Tahoma"/>
            <family val="2"/>
          </rPr>
          <t xml:space="preserve"> hooks are not required, as bars are developed as straight bars.
(This applies to 10 pile caps through 30 pile caps.)</t>
        </r>
      </text>
    </comment>
  </commentList>
</comments>
</file>

<file path=xl/sharedStrings.xml><?xml version="1.0" encoding="utf-8"?>
<sst xmlns="http://schemas.openxmlformats.org/spreadsheetml/2006/main" count="14053" uniqueCount="455">
  <si>
    <t>in.</t>
  </si>
  <si>
    <t>d=</t>
  </si>
  <si>
    <r>
      <t>b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=</t>
    </r>
  </si>
  <si>
    <r>
      <t>4(f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=</t>
    </r>
  </si>
  <si>
    <r>
      <t>32(f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=</t>
    </r>
  </si>
  <si>
    <t>psi</t>
  </si>
  <si>
    <t>k=</t>
  </si>
  <si>
    <r>
      <t>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</t>
    </r>
  </si>
  <si>
    <t>k</t>
  </si>
  <si>
    <t>based on k=2(d/w)(1+d/c) acting at column face</t>
  </si>
  <si>
    <r>
      <t>based on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=k(f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d acting at column face</t>
    </r>
  </si>
  <si>
    <r>
      <t>b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=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</si>
  <si>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>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</t>
    </r>
  </si>
  <si>
    <r>
      <t>V</t>
    </r>
    <r>
      <rPr>
        <vertAlign val="subscript"/>
        <sz val="11"/>
        <color theme="1"/>
        <rFont val="Calibri"/>
        <family val="2"/>
        <scheme val="minor"/>
      </rPr>
      <t>u</t>
    </r>
  </si>
  <si>
    <r>
      <t>V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Symbol"/>
        <family val="1"/>
        <charset val="2"/>
      </rPr>
      <t>/f</t>
    </r>
    <r>
      <rPr>
        <sz val="11"/>
        <color theme="1"/>
        <rFont val="Calibri"/>
        <family val="2"/>
        <scheme val="minor"/>
      </rPr>
      <t>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</t>
    </r>
  </si>
  <si>
    <r>
      <t>based on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=4(f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d acting at d/2 from column face</t>
    </r>
  </si>
  <si>
    <r>
      <t>w</t>
    </r>
    <r>
      <rPr>
        <vertAlign val="subscript"/>
        <sz val="11"/>
        <color theme="1"/>
        <rFont val="Calibri"/>
        <family val="2"/>
        <scheme val="minor"/>
      </rPr>
      <t>actual</t>
    </r>
  </si>
  <si>
    <t>d/2</t>
  </si>
  <si>
    <t>kips</t>
  </si>
  <si>
    <t>tons</t>
  </si>
  <si>
    <t>inches</t>
  </si>
  <si>
    <t>ksi</t>
  </si>
  <si>
    <r>
      <t>Net Column Capacity P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=</t>
    </r>
  </si>
  <si>
    <t>Rounded Dimension c=</t>
  </si>
  <si>
    <t>Required Flexural Reinforcement - Short Bars</t>
  </si>
  <si>
    <r>
      <t>M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=</t>
    </r>
  </si>
  <si>
    <t>k-in.</t>
  </si>
  <si>
    <t>k-in./ft</t>
  </si>
  <si>
    <t>1 ft strip design</t>
  </si>
  <si>
    <r>
      <t>in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/ft</t>
    </r>
  </si>
  <si>
    <t>Bar No.</t>
  </si>
  <si>
    <t>Diameter (in.)</t>
  </si>
  <si>
    <r>
      <t>Area (in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</si>
  <si>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Short Bar Diameter</t>
  </si>
  <si>
    <r>
      <t>in</t>
    </r>
    <r>
      <rPr>
        <vertAlign val="superscript"/>
        <sz val="11"/>
        <color theme="1"/>
        <rFont val="Calibri"/>
        <family val="2"/>
        <scheme val="minor"/>
      </rPr>
      <t>2</t>
    </r>
  </si>
  <si>
    <t>Short Bar Area</t>
  </si>
  <si>
    <t>Long Bar Diameter</t>
  </si>
  <si>
    <t>Long Bar Area</t>
  </si>
  <si>
    <r>
      <t>A</t>
    </r>
    <r>
      <rPr>
        <vertAlign val="subscript"/>
        <sz val="11"/>
        <color theme="1"/>
        <rFont val="Calibri"/>
        <family val="2"/>
        <scheme val="minor"/>
      </rPr>
      <t>s,required,structural,total</t>
    </r>
    <r>
      <rPr>
        <sz val="11"/>
        <color theme="1"/>
        <rFont val="Calibri"/>
        <family val="2"/>
        <scheme val="minor"/>
      </rPr>
      <t>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</si>
  <si>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s,required,structural,per ft</t>
    </r>
    <r>
      <rPr>
        <sz val="11"/>
        <color theme="1"/>
        <rFont val="Calibri"/>
        <family val="2"/>
        <scheme val="minor"/>
      </rPr>
      <t>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</si>
  <si>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s,required</t>
    </r>
    <r>
      <rPr>
        <sz val="11"/>
        <color theme="1"/>
        <rFont val="Calibri"/>
        <family val="2"/>
        <scheme val="minor"/>
      </rPr>
      <t>=</t>
    </r>
  </si>
  <si>
    <t>Increase the calculated area of steel to maintain uniform spacing (ACI 15.4.4)</t>
  </si>
  <si>
    <r>
      <t>(4/3)A</t>
    </r>
    <r>
      <rPr>
        <vertAlign val="subscript"/>
        <sz val="11"/>
        <color theme="1"/>
        <rFont val="Calibri"/>
        <family val="2"/>
        <scheme val="minor"/>
      </rPr>
      <t>s,required,structural,total</t>
    </r>
    <r>
      <rPr>
        <sz val="11"/>
        <color theme="1"/>
        <rFont val="Calibri"/>
        <family val="2"/>
        <scheme val="minor"/>
      </rPr>
      <t>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</si>
  <si>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s,min,1 or 2, controlling</t>
    </r>
    <r>
      <rPr>
        <sz val="11"/>
        <color theme="1"/>
        <rFont val="Calibri"/>
        <family val="2"/>
        <scheme val="minor"/>
      </rPr>
      <t>=</t>
    </r>
  </si>
  <si>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Calibri"/>
        <family val="2"/>
      </rPr>
      <t>=A/B=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</si>
  <si>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s,required,structural,total,modfied</t>
    </r>
    <r>
      <rPr>
        <sz val="11"/>
        <color theme="1"/>
        <rFont val="Calibri"/>
        <family val="2"/>
        <scheme val="minor"/>
      </rPr>
      <t>=</t>
    </r>
  </si>
  <si>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</rPr>
      <t>s</t>
    </r>
    <r>
      <rPr>
        <sz val="11"/>
        <color theme="1"/>
        <rFont val="Calibri"/>
        <family val="2"/>
      </rPr>
      <t>=</t>
    </r>
  </si>
  <si>
    <r>
      <rPr>
        <sz val="11"/>
        <color theme="1"/>
        <rFont val="MT Extra"/>
        <family val="1"/>
        <charset val="2"/>
      </rPr>
      <t>l</t>
    </r>
    <r>
      <rPr>
        <vertAlign val="subscript"/>
        <sz val="11"/>
        <color theme="1"/>
        <rFont val="Calibri"/>
        <family val="2"/>
        <scheme val="minor"/>
      </rPr>
      <t>dh</t>
    </r>
    <r>
      <rPr>
        <sz val="11"/>
        <color theme="1"/>
        <rFont val="Calibri"/>
        <family val="2"/>
        <scheme val="minor"/>
      </rPr>
      <t>=</t>
    </r>
  </si>
  <si>
    <t>Required Flexural Reinforcement - Long Bars</t>
  </si>
  <si>
    <t>Use 1.0 for no epoxy coating</t>
  </si>
  <si>
    <r>
      <rPr>
        <sz val="11"/>
        <color theme="1"/>
        <rFont val="Symbol"/>
        <family val="1"/>
        <charset val="2"/>
      </rPr>
      <t>y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=</t>
    </r>
  </si>
  <si>
    <t>Available for hook as past pile edge</t>
  </si>
  <si>
    <t>Based on previous CRSI assumed average bar diameter of 1.0 in.</t>
  </si>
  <si>
    <t>d/2=</t>
  </si>
  <si>
    <t>distance from column center to d/2=</t>
  </si>
  <si>
    <t>distance from center of column to adjacent pile centers (above)=</t>
  </si>
  <si>
    <t>distance from center of column to adjacent pile centers (beside)=</t>
  </si>
  <si>
    <r>
      <t>V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=</t>
    </r>
  </si>
  <si>
    <t>distance from column center to d=</t>
  </si>
  <si>
    <t>distance from center of column to left or right most pile centers =</t>
  </si>
  <si>
    <r>
      <t>2(f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=</t>
    </r>
  </si>
  <si>
    <t>bd=</t>
  </si>
  <si>
    <r>
      <t>based on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=2(f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d acting at d from column face</t>
    </r>
  </si>
  <si>
    <t>w'=</t>
  </si>
  <si>
    <t>w'/d=</t>
  </si>
  <si>
    <r>
      <t>V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d/M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=</t>
    </r>
  </si>
  <si>
    <r>
      <t>M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/(V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d)</t>
    </r>
    <r>
      <rPr>
        <vertAlign val="subscript"/>
        <sz val="11"/>
        <color theme="1"/>
        <rFont val="Calibri"/>
        <family val="2"/>
        <scheme val="minor"/>
      </rPr>
      <t>=</t>
    </r>
  </si>
  <si>
    <t>Quantities of Concrete and Reinforcing Bars</t>
  </si>
  <si>
    <t>Concrete Summary:</t>
  </si>
  <si>
    <t>Short Steel Bar Summary:</t>
  </si>
  <si>
    <t xml:space="preserve">Total </t>
  </si>
  <si>
    <t>Bars</t>
  </si>
  <si>
    <t>of length</t>
  </si>
  <si>
    <t>ft (per bar)</t>
  </si>
  <si>
    <t>Hooks</t>
  </si>
  <si>
    <t xml:space="preserve">Weight = </t>
  </si>
  <si>
    <t>Long Steel Bar Summary:</t>
  </si>
  <si>
    <t xml:space="preserve">Total weight of all steel = </t>
  </si>
  <si>
    <t>lbs</t>
  </si>
  <si>
    <t xml:space="preserve">or </t>
  </si>
  <si>
    <t>Check two way shear at a distance d/2 from column - CRSI LIMIT STATE 1 -</t>
  </si>
  <si>
    <t>distance from center of column to top or bottom most pile centers =</t>
  </si>
  <si>
    <t>Check two way shear at column face - CRSI LIMIT STATE 4 -</t>
  </si>
  <si>
    <t>Limit State Allowable</t>
  </si>
  <si>
    <t>Check two way shear at a distance d/2 from PILE - CRSI LIMIT STATE IN -</t>
  </si>
  <si>
    <t>Area in shear</t>
  </si>
  <si>
    <t>Actual Stress</t>
  </si>
  <si>
    <r>
      <t>based on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=4(f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d acting at d/2 from pile face</t>
    </r>
  </si>
  <si>
    <t>Check two way shear at a distance d/2 from PILE - CRSI LIMIT STATE EX -</t>
  </si>
  <si>
    <t>Check two way shear at a distance d/2 from PILE - CRSI LIMIT STATE IN (2 PILES) -</t>
  </si>
  <si>
    <r>
      <t>d</t>
    </r>
    <r>
      <rPr>
        <vertAlign val="subscript"/>
        <sz val="11"/>
        <color theme="1"/>
        <rFont val="Calibri"/>
        <family val="2"/>
        <scheme val="minor"/>
      </rPr>
      <t>critical</t>
    </r>
    <r>
      <rPr>
        <sz val="11"/>
        <color theme="1"/>
        <rFont val="Calibri"/>
        <family val="2"/>
        <scheme val="minor"/>
      </rPr>
      <t>=</t>
    </r>
  </si>
  <si>
    <t>Used to locate diagonal line clear from pile</t>
  </si>
  <si>
    <t xml:space="preserve">diagonal = </t>
  </si>
  <si>
    <r>
      <t>based on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=2(f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d acting at d from pile face</t>
    </r>
  </si>
  <si>
    <r>
      <t>Check one way shear at a distance d</t>
    </r>
    <r>
      <rPr>
        <b/>
        <vertAlign val="subscript"/>
        <sz val="14"/>
        <color theme="1"/>
        <rFont val="Calibri"/>
        <family val="2"/>
        <scheme val="minor"/>
      </rPr>
      <t>critical</t>
    </r>
    <r>
      <rPr>
        <b/>
        <sz val="14"/>
        <color theme="1"/>
        <rFont val="Calibri"/>
        <family val="2"/>
        <scheme val="minor"/>
      </rPr>
      <t xml:space="preserve"> from PILE - CRSI LIMIT STATE BM -</t>
    </r>
  </si>
  <si>
    <t>Job Name:</t>
  </si>
  <si>
    <t>Subject:</t>
  </si>
  <si>
    <t>Job Number:</t>
  </si>
  <si>
    <t>Originator:</t>
  </si>
  <si>
    <t>Checker:</t>
  </si>
  <si>
    <t>for Vertical Loading</t>
  </si>
  <si>
    <t>Input:</t>
  </si>
  <si>
    <t>Concrete</t>
  </si>
  <si>
    <t>Steel</t>
  </si>
  <si>
    <t>Wood</t>
  </si>
  <si>
    <t>2 PILE CAP (Traditional CRSI Approach)</t>
  </si>
  <si>
    <t>Results:</t>
  </si>
  <si>
    <t>Column Size Determination</t>
  </si>
  <si>
    <t>Round</t>
  </si>
  <si>
    <t>Square</t>
  </si>
  <si>
    <t>Steel pile embedment=</t>
  </si>
  <si>
    <r>
      <t>Minimum Pile Dimension d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=</t>
    </r>
  </si>
  <si>
    <t>Pile Depth Recommendation Calculations:</t>
  </si>
  <si>
    <t>Design Checks:</t>
  </si>
  <si>
    <t>Diameter for punching shear</t>
  </si>
  <si>
    <t>Equivalent Pile Diameter</t>
  </si>
  <si>
    <t>If given pile is square</t>
  </si>
  <si>
    <t>Total moment on pile cap with offset</t>
  </si>
  <si>
    <t>% steel concentrated of width B of long side A</t>
  </si>
  <si>
    <t>(w/offset)</t>
  </si>
  <si>
    <t>Check deep beam (one way shear through short width) at a distance</t>
  </si>
  <si>
    <t>d from column face - CRSI LIMIT STATE 2 -</t>
  </si>
  <si>
    <t>Short bar size small enough to develop hooks?</t>
  </si>
  <si>
    <t>Long bar size small enough to develop hooks?</t>
  </si>
  <si>
    <t>CRSI Limit State 1 Adequate?</t>
  </si>
  <si>
    <t>CRSI Limit State 2 Adequate?</t>
  </si>
  <si>
    <t>CRSI Limit State 3 Adequate?</t>
  </si>
  <si>
    <t>CRSI Limit State 4 Adequate?</t>
  </si>
  <si>
    <t>CRSI Limit State 5 Adequate?</t>
  </si>
  <si>
    <t>CRSI Limit State 6 Adequate?</t>
  </si>
  <si>
    <t>Not applicable to this pilecap configuration</t>
  </si>
  <si>
    <t>reduced by weight of concrete outside of critical section</t>
  </si>
  <si>
    <t>(only applies when w/d&lt;1.0) - CRSI LIMIT STATE 5 -</t>
  </si>
  <si>
    <t>Check deep beam (one way shear through short width) at face of column</t>
  </si>
  <si>
    <t>Hook</t>
  </si>
  <si>
    <t>Short hook add=</t>
  </si>
  <si>
    <t>Long hook add=</t>
  </si>
  <si>
    <t>4 PILE CAP (Traditional CRSI Approach)</t>
  </si>
  <si>
    <t>Check deep beam (one way shear through long width) at a distance</t>
  </si>
  <si>
    <t>d from column face - CRSI LIMIT STATE 3 -</t>
  </si>
  <si>
    <t>Check deep beam (one way shear through long width) at face of column</t>
  </si>
  <si>
    <t>(only applies when w/d&lt;1.0) - CRSI LIMIT STATE 6 -</t>
  </si>
  <si>
    <t>Round dimension (2) for punching shear</t>
  </si>
  <si>
    <t>Straight dimension (1) for punching shear</t>
  </si>
  <si>
    <t>Length dimension for punching shear</t>
  </si>
  <si>
    <t>Area for wt.=</t>
  </si>
  <si>
    <r>
      <t>ft</t>
    </r>
    <r>
      <rPr>
        <vertAlign val="superscript"/>
        <sz val="11"/>
        <color theme="1"/>
        <rFont val="Calibri"/>
        <family val="2"/>
        <scheme val="minor"/>
      </rPr>
      <t>2</t>
    </r>
  </si>
  <si>
    <t>5 PILE CAP (Traditional CRSI Approach)</t>
  </si>
  <si>
    <t>Program Description:</t>
  </si>
  <si>
    <t>Worksheet Name</t>
  </si>
  <si>
    <t>Description</t>
  </si>
  <si>
    <t>Doc</t>
  </si>
  <si>
    <t>This documentation sheet</t>
  </si>
  <si>
    <t>Program Assumptions and Limitations:</t>
  </si>
  <si>
    <t>9.  This program contains numerous “comment boxes” which contain a wide variety of information including</t>
  </si>
  <si>
    <t xml:space="preserve">     explanations of input or output items, equations used, data tables, etc.  (Note:  presence of a “comment box”</t>
  </si>
  <si>
    <t xml:space="preserve">     is denoted by a “red triangle” in the upper right-hand corner of a cell.  Merely move the mouse pointer to the </t>
  </si>
  <si>
    <t xml:space="preserve">     desired cell to view the contents of that particular "comment box".)</t>
  </si>
  <si>
    <t>"CRSI-PILECAP" --- PILECAP DESIGN AND ANALYSIS SPREADSHEET</t>
  </si>
  <si>
    <t>2 Pile Cap</t>
  </si>
  <si>
    <t>3 Pile Cap</t>
  </si>
  <si>
    <t>4 Pile Cap</t>
  </si>
  <si>
    <t>5 Pile Cap</t>
  </si>
  <si>
    <t>6 Pile Cap</t>
  </si>
  <si>
    <t>7 Pile Cap</t>
  </si>
  <si>
    <t>8 Pile Cap</t>
  </si>
  <si>
    <t>9 Pile Cap</t>
  </si>
  <si>
    <t>10 Pile Cap</t>
  </si>
  <si>
    <t>11 Pile Cap</t>
  </si>
  <si>
    <t>12 Pile Cap</t>
  </si>
  <si>
    <t>13 Pile Cap</t>
  </si>
  <si>
    <t>14 Pile Cap</t>
  </si>
  <si>
    <t>15 Pile Cap</t>
  </si>
  <si>
    <t>16 Pile Cap</t>
  </si>
  <si>
    <t>17 Pile Cap</t>
  </si>
  <si>
    <t>18 Pile Cap</t>
  </si>
  <si>
    <t>19 Pile Cap</t>
  </si>
  <si>
    <t>20 Pile Cap</t>
  </si>
  <si>
    <t>21 Pile Cap</t>
  </si>
  <si>
    <t>22 Pile Cap</t>
  </si>
  <si>
    <t>23 Pile Cap</t>
  </si>
  <si>
    <t>24 Pile Cap</t>
  </si>
  <si>
    <t>26 Pile Cap</t>
  </si>
  <si>
    <t>28 Pile Cap</t>
  </si>
  <si>
    <t>30 Pile Cap</t>
  </si>
  <si>
    <t>"CRSI-PILECAP" is a spreadsheet program written in MS-Excel for the design and analysis of rigid pile</t>
  </si>
  <si>
    <t>pile cap depth, bar size, and minimum pile eccentrity (which can also be used to increase pile cap moment demand</t>
  </si>
  <si>
    <t>if so desired).  Design requires the user to simply yet interatively choose a minimum design depth that satisfies</t>
  </si>
  <si>
    <t xml:space="preserve">1.  The CRSI-PILECAP worksheets assume rigid cap load distribution to each pile (i.e., equal load distribution) </t>
  </si>
  <si>
    <t>3.  The tabulated designs are adequate (and conservative) for rectangular columns or steel base</t>
  </si>
  <si>
    <t xml:space="preserve">     plates if the short side or section is equal to the minimum tabulated column size.</t>
  </si>
  <si>
    <t>4.  A minimum embedment of 6 inches has been established as good practice with structural</t>
  </si>
  <si>
    <t xml:space="preserve">     designs, a minimum embedment of 4 inches is usually sufficient.</t>
  </si>
  <si>
    <t xml:space="preserve">     steel shapes to avoid use of cover plates for bearing.  If precast, concrete, or timber piles are to be used in the tabulated</t>
  </si>
  <si>
    <t xml:space="preserve">     and (c) 2 ft clear between piles is used in the worksheets.  The 3 times the pile dimension requirement is based on current</t>
  </si>
  <si>
    <t xml:space="preserve">     geotechnical recommendations that result in expected maximum pile capacities.</t>
  </si>
  <si>
    <t xml:space="preserve">6.  Note that some tabulated designs show dimensions on the line below. These dimensions are for use with “clipped corners” </t>
  </si>
  <si>
    <t xml:space="preserve">     of the pile cap with the corners removed.</t>
  </si>
  <si>
    <t>8.  For pile caps with 2, 3, 4, 5, 6, 7, or 9 piles, all reinforcing bars must be provided with standard</t>
  </si>
  <si>
    <t xml:space="preserve">     end hooks. For pile caps with 8, 10, 11, or 12 piles, only the short reinforcing bars must be provided with</t>
  </si>
  <si>
    <t>6 PILE CAP (Traditional CRSI Approach)</t>
  </si>
  <si>
    <t>9 PILE CAP (Traditional CRSI Approach)</t>
  </si>
  <si>
    <t>16 PILE CAP (Traditional CRSI Approach)</t>
  </si>
  <si>
    <t>Long bar size small enough to develop straight bars?</t>
  </si>
  <si>
    <t>Short Bars No Hook Development Length Check</t>
  </si>
  <si>
    <t>c. to c. spacing of long bars=</t>
  </si>
  <si>
    <t xml:space="preserve">concrete cover = </t>
  </si>
  <si>
    <r>
      <t>c</t>
    </r>
    <r>
      <rPr>
        <vertAlign val="subscript"/>
        <sz val="8"/>
        <color theme="1"/>
        <rFont val="Calibri"/>
        <family val="2"/>
        <scheme val="minor"/>
      </rPr>
      <t>b</t>
    </r>
    <r>
      <rPr>
        <sz val="8"/>
        <color theme="1"/>
        <rFont val="Calibri"/>
        <family val="2"/>
        <scheme val="minor"/>
      </rPr>
      <t>=</t>
    </r>
  </si>
  <si>
    <r>
      <t>c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=</t>
    </r>
  </si>
  <si>
    <r>
      <rPr>
        <sz val="11"/>
        <color theme="1"/>
        <rFont val="MT Extra"/>
        <family val="1"/>
        <charset val="2"/>
      </rPr>
      <t>l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=</t>
    </r>
  </si>
  <si>
    <r>
      <rPr>
        <sz val="8"/>
        <color theme="1"/>
        <rFont val="Symbol"/>
        <family val="1"/>
        <charset val="2"/>
      </rPr>
      <t>y</t>
    </r>
    <r>
      <rPr>
        <vertAlign val="subscript"/>
        <sz val="8"/>
        <color theme="1"/>
        <rFont val="Calibri"/>
        <family val="2"/>
        <scheme val="minor"/>
      </rPr>
      <t>t</t>
    </r>
    <r>
      <rPr>
        <sz val="8"/>
        <color theme="1"/>
        <rFont val="Calibri"/>
        <family val="2"/>
        <scheme val="minor"/>
      </rPr>
      <t>=</t>
    </r>
  </si>
  <si>
    <t>Use 1.0 for bottom bars</t>
  </si>
  <si>
    <r>
      <rPr>
        <sz val="11"/>
        <color theme="1"/>
        <rFont val="MT Extra"/>
        <family val="1"/>
        <charset val="2"/>
      </rPr>
      <t>l</t>
    </r>
    <r>
      <rPr>
        <vertAlign val="subscript"/>
        <sz val="11"/>
        <color theme="1"/>
        <rFont val="Calibri"/>
        <family val="2"/>
        <scheme val="minor"/>
      </rPr>
      <t>available</t>
    </r>
    <r>
      <rPr>
        <sz val="11"/>
        <color theme="1"/>
        <rFont val="Calibri"/>
        <family val="2"/>
        <scheme val="minor"/>
      </rPr>
      <t>=</t>
    </r>
  </si>
  <si>
    <r>
      <rPr>
        <sz val="8"/>
        <color theme="1"/>
        <rFont val="Symbol"/>
        <family val="1"/>
        <charset val="2"/>
      </rPr>
      <t>y</t>
    </r>
    <r>
      <rPr>
        <vertAlign val="subscript"/>
        <sz val="8"/>
        <color theme="1"/>
        <rFont val="Calibri"/>
        <family val="2"/>
        <scheme val="minor"/>
      </rPr>
      <t>e</t>
    </r>
    <r>
      <rPr>
        <sz val="8"/>
        <color theme="1"/>
        <rFont val="Calibri"/>
        <family val="2"/>
        <scheme val="minor"/>
      </rPr>
      <t>=</t>
    </r>
  </si>
  <si>
    <r>
      <rPr>
        <sz val="8"/>
        <color theme="1"/>
        <rFont val="Symbol"/>
        <family val="1"/>
        <charset val="2"/>
      </rPr>
      <t>y</t>
    </r>
    <r>
      <rPr>
        <vertAlign val="subscript"/>
        <sz val="8"/>
        <color theme="1"/>
        <rFont val="Calibri"/>
        <family val="2"/>
        <scheme val="minor"/>
      </rPr>
      <t>s</t>
    </r>
    <r>
      <rPr>
        <sz val="8"/>
        <color theme="1"/>
        <rFont val="Calibri"/>
        <family val="2"/>
        <scheme val="minor"/>
      </rPr>
      <t>=</t>
    </r>
  </si>
  <si>
    <t>Based on long bar size</t>
  </si>
  <si>
    <r>
      <t>(c</t>
    </r>
    <r>
      <rPr>
        <vertAlign val="subscript"/>
        <sz val="8"/>
        <color theme="1"/>
        <rFont val="Calibri"/>
        <family val="2"/>
        <scheme val="minor"/>
      </rPr>
      <t>b</t>
    </r>
    <r>
      <rPr>
        <sz val="8"/>
        <color theme="1"/>
        <rFont val="Calibri"/>
        <family val="2"/>
        <scheme val="minor"/>
      </rPr>
      <t>+K</t>
    </r>
    <r>
      <rPr>
        <vertAlign val="subscript"/>
        <sz val="8"/>
        <color theme="1"/>
        <rFont val="Calibri"/>
        <family val="2"/>
        <scheme val="minor"/>
      </rPr>
      <t>tr</t>
    </r>
    <r>
      <rPr>
        <sz val="8"/>
        <color theme="1"/>
        <rFont val="Calibri"/>
        <family val="2"/>
        <scheme val="minor"/>
      </rPr>
      <t>)/d</t>
    </r>
    <r>
      <rPr>
        <vertAlign val="subscript"/>
        <sz val="8"/>
        <color theme="1"/>
        <rFont val="Calibri"/>
        <family val="2"/>
        <scheme val="minor"/>
      </rPr>
      <t>b</t>
    </r>
    <r>
      <rPr>
        <sz val="8"/>
        <color theme="1"/>
        <rFont val="Calibri"/>
        <family val="2"/>
        <scheme val="minor"/>
      </rPr>
      <t>=</t>
    </r>
  </si>
  <si>
    <r>
      <rPr>
        <sz val="8"/>
        <color theme="1"/>
        <rFont val="MT Extra"/>
        <family val="1"/>
        <charset val="2"/>
      </rPr>
      <t>l</t>
    </r>
    <r>
      <rPr>
        <vertAlign val="subscript"/>
        <sz val="8"/>
        <color theme="1"/>
        <rFont val="Calibri"/>
        <family val="2"/>
        <scheme val="minor"/>
      </rPr>
      <t>d</t>
    </r>
    <r>
      <rPr>
        <sz val="8"/>
        <color theme="1"/>
        <rFont val="Calibri"/>
        <family val="2"/>
        <scheme val="minor"/>
      </rPr>
      <t>=</t>
    </r>
  </si>
  <si>
    <r>
      <rPr>
        <sz val="8"/>
        <color theme="1"/>
        <rFont val="MT Extra"/>
        <family val="1"/>
        <charset val="2"/>
      </rPr>
      <t>l</t>
    </r>
    <r>
      <rPr>
        <vertAlign val="subscript"/>
        <sz val="8"/>
        <color theme="1"/>
        <rFont val="Calibri"/>
        <family val="2"/>
        <scheme val="minor"/>
      </rPr>
      <t>available</t>
    </r>
    <r>
      <rPr>
        <sz val="8"/>
        <color theme="1"/>
        <rFont val="Calibri"/>
        <family val="2"/>
        <scheme val="minor"/>
      </rPr>
      <t>=</t>
    </r>
  </si>
  <si>
    <t>Long Bars No Hook Development Length Check</t>
  </si>
  <si>
    <t>distance from center of column to far pile centers (above)=</t>
  </si>
  <si>
    <t>distance from center of column to far pile centers (beside)=</t>
  </si>
  <si>
    <t>distance from center of column to left or right near pile centers =</t>
  </si>
  <si>
    <t>distance from center of column to top or bottom near pile centers =</t>
  </si>
  <si>
    <t>7 PILE CAP (Traditional CRSI Approach)</t>
  </si>
  <si>
    <t>DIAMETER FOR 7 PILE CAP</t>
  </si>
  <si>
    <t>distance from center of column to adjacent pile centers (radial)=</t>
  </si>
  <si>
    <t>NA</t>
  </si>
  <si>
    <t>NOTE TO CRSI: Something appears to be wrong with CAP Program for limit state 4 and high capacity piling</t>
  </si>
  <si>
    <t>Seems to be off factor of 2?</t>
  </si>
  <si>
    <t>8 PILE CAP (Traditional CRSI Approach)</t>
  </si>
  <si>
    <t>distance from center of column to adjacent pile centers (near beside)=</t>
  </si>
  <si>
    <t>distance from center of column to adjacent pile centers (far beside)=</t>
  </si>
  <si>
    <t>****COMBINED****</t>
  </si>
  <si>
    <t>10 PILE CAP (Traditional CRSI Approach)</t>
  </si>
  <si>
    <t>Short bar size small enough to develop straight bars?</t>
  </si>
  <si>
    <t>distance from center of column to adjacent pile centers (2nd beside)=</t>
  </si>
  <si>
    <t>11 PILE CAP (Traditional CRSI Approach)</t>
  </si>
  <si>
    <t>distance from center of column to adjacent pile centers (top)=</t>
  </si>
  <si>
    <t>distance from center of column to adjacent pile centers (LR1)=</t>
  </si>
  <si>
    <t>distance from center of column to adjacent pile centers (LR2)=</t>
  </si>
  <si>
    <t>distance from center of column to adjacent pile centers (LR3)=</t>
  </si>
  <si>
    <t>distance from center of column to left or right 1 pile centers =</t>
  </si>
  <si>
    <t>distance from center of column to left or right 2 pile centers =</t>
  </si>
  <si>
    <t>distance from center of column to left or right 3 pile centers =</t>
  </si>
  <si>
    <t>12 PILE CAP (Traditional CRSI Approach)</t>
  </si>
  <si>
    <t>distance from center of column to adjacent pile centers (beside2)=</t>
  </si>
  <si>
    <t>distance from center of column to left or right pile centers =</t>
  </si>
  <si>
    <t>13 PILE CAP (Traditional CRSI Approach)</t>
  </si>
  <si>
    <t>distance from center of column to adjacent pile centers (top2)=</t>
  </si>
  <si>
    <t>distance from center of column to top or bottom 1 centers =</t>
  </si>
  <si>
    <t>distance from center of column to top or bottom 2 centers =</t>
  </si>
  <si>
    <t>14 PILE CAP (Traditional CRSI Approach)</t>
  </si>
  <si>
    <t>distance from center of column to pile centers (beside2)=</t>
  </si>
  <si>
    <t>distance from center of column to pile centers (beside3)=</t>
  </si>
  <si>
    <t>15 PILE CAP (Traditional CRSI Approach)</t>
  </si>
  <si>
    <t>x=</t>
  </si>
  <si>
    <t>y=</t>
  </si>
  <si>
    <t>A'=</t>
  </si>
  <si>
    <t>B'=</t>
  </si>
  <si>
    <t>x'=</t>
  </si>
  <si>
    <t>y'=</t>
  </si>
  <si>
    <t>ycorner=</t>
  </si>
  <si>
    <t>xcorner=</t>
  </si>
  <si>
    <t>distance from center of column to adjacent pile centers (top3)=</t>
  </si>
  <si>
    <t>distance from center of column to top or bottom 3 centers =</t>
  </si>
  <si>
    <t>17 PILE CAP (Traditional CRSI Approach)</t>
  </si>
  <si>
    <t>bmodified</t>
  </si>
  <si>
    <t>boriginal</t>
  </si>
  <si>
    <t>19 PILE CAP (Traditional CRSI Approach)</t>
  </si>
  <si>
    <t>20 PILE CAP (Traditional CRSI Approach)</t>
  </si>
  <si>
    <t>distance from center of column to adjacent pile centers (above2)=</t>
  </si>
  <si>
    <t>24 PILE CAP (Traditional CRSI Approach)</t>
  </si>
  <si>
    <t>distance from center of column to adjacent pile centers (beside3)=</t>
  </si>
  <si>
    <t>distance from center of column to adjacent pile centers (beside4)=</t>
  </si>
  <si>
    <t>distance from center of column to adjacent pile centers (above3)=</t>
  </si>
  <si>
    <t>distance from center of column to adjacent pile centers (above4)=</t>
  </si>
  <si>
    <t>21 PILE CAP (Traditional CRSI Approach)</t>
  </si>
  <si>
    <t>22 PILE CAP (Traditional CRSI Approach)</t>
  </si>
  <si>
    <t>distance from center of column to adjacent pile centers (LR4)=</t>
  </si>
  <si>
    <t>**CONTROLLING**</t>
  </si>
  <si>
    <t>23 PILE CAP (Traditional CRSI Approach)</t>
  </si>
  <si>
    <t>26 PILE CAP (Traditional CRSI Approach)</t>
  </si>
  <si>
    <t>distance from center of column to adjacent pile centers (top4)=</t>
  </si>
  <si>
    <t>distance from center of column to top or bottom 4 centers =</t>
  </si>
  <si>
    <t>3 PILE CAP (Traditional CRSI Approach)</t>
  </si>
  <si>
    <t>Missing Triangular Area</t>
  </si>
  <si>
    <t>Missing Triangular Side1</t>
  </si>
  <si>
    <t>Missing Triangular Side2</t>
  </si>
  <si>
    <t>ft2</t>
  </si>
  <si>
    <t>Width for 3 way placement of bars</t>
  </si>
  <si>
    <t>Required Flexural Reinforcement - Three Ways</t>
  </si>
  <si>
    <t>All Steel Bar Summary:</t>
  </si>
  <si>
    <t>distance from center of column to top most pile centers =</t>
  </si>
  <si>
    <t>Column center distance from bottom</t>
  </si>
  <si>
    <t>batcolumn</t>
  </si>
  <si>
    <t>slope of b per ft (both sides)</t>
  </si>
  <si>
    <t>Not Applicable</t>
  </si>
  <si>
    <t>batw'</t>
  </si>
  <si>
    <t>caps.  Pile caps are designed and analyzed in accordance with ACI 318-11 with modifications as necessary</t>
  </si>
  <si>
    <t>to account for beam shear and punching shear when piles are placed inside the ACI assumed shear failure plane.</t>
  </si>
  <si>
    <t>General Note: This spreadsheet is part of the CRSI Pile Cap Design Guide (2015).  This program should only be used</t>
  </si>
  <si>
    <t>in conjunction with the design requirements and recommendations as presented in the CRSI Pile Cap Design Guide.</t>
  </si>
  <si>
    <t xml:space="preserve">     for a pile group.</t>
  </si>
  <si>
    <t>2.  The tabulated designs are based upon the use of a square reinforced concrete column of at least the minimum size indicated or</t>
  </si>
  <si>
    <t xml:space="preserve">     a structural steel column on a steel base plate such that the section half-way between the column face</t>
  </si>
  <si>
    <t xml:space="preserve">5.  A minimum pile spacing equal to the maximum of (a) 3 ft o.c., (b) 3 times the pile dimension, </t>
  </si>
  <si>
    <t xml:space="preserve">     to save concrete. In other words, the “clipped corner” dimensions are the truncated dimensions </t>
  </si>
  <si>
    <t xml:space="preserve">     range shown, 40 tons to 400 tons, covers the usual range for precast concrete or structural steel piles.</t>
  </si>
  <si>
    <t xml:space="preserve">     end hooks, and should be placed as the lower layer.  As an alternative to hooked bars, the bar ends can be headed.</t>
  </si>
  <si>
    <t xml:space="preserve">     in the CRSI Pile Cap Design Guide.</t>
  </si>
  <si>
    <t>10.The limit states listed in the output section of each worksheet are defined and shown graphically</t>
  </si>
  <si>
    <t>Terms Used in the Input Section of the Worksheets:</t>
  </si>
  <si>
    <t>load (as determined by geotechnical engineers) are typically 1.6 to 2.0 times the ASD allowable load.</t>
  </si>
  <si>
    <r>
      <rPr>
        <b/>
        <sz val="11"/>
        <color theme="1"/>
        <rFont val="Calibri"/>
        <family val="2"/>
        <scheme val="minor"/>
      </rPr>
      <t>Pile Type</t>
    </r>
    <r>
      <rPr>
        <sz val="11"/>
        <color theme="1"/>
        <rFont val="Calibri"/>
        <family val="2"/>
        <scheme val="minor"/>
      </rPr>
      <t xml:space="preserve"> - concrete, steel, or wood piling may be selected</t>
    </r>
  </si>
  <si>
    <r>
      <rPr>
        <b/>
        <sz val="11"/>
        <color theme="1"/>
        <rFont val="Calibri"/>
        <family val="2"/>
        <scheme val="minor"/>
      </rPr>
      <t>Pile Allowable Load (ASD)</t>
    </r>
    <r>
      <rPr>
        <sz val="11"/>
        <color theme="1"/>
        <rFont val="Calibri"/>
        <family val="2"/>
        <scheme val="minor"/>
      </rPr>
      <t xml:space="preserve"> - Allowable compressive load on pile (provided by geotechnical engineer).  Ultimate pile</t>
    </r>
  </si>
  <si>
    <r>
      <rPr>
        <b/>
        <sz val="11"/>
        <color theme="1"/>
        <rFont val="Calibri"/>
        <family val="2"/>
        <scheme val="minor"/>
      </rPr>
      <t>Minimum Pile Embedment</t>
    </r>
    <r>
      <rPr>
        <sz val="11"/>
        <color theme="1"/>
        <rFont val="Calibri"/>
        <family val="2"/>
        <scheme val="minor"/>
      </rPr>
      <t xml:space="preserve"> - the minimum pile embedment is set at 6 in. for steel piles and 4 in. for concrete</t>
    </r>
  </si>
  <si>
    <t>and wood piles.</t>
  </si>
  <si>
    <r>
      <rPr>
        <b/>
        <sz val="11"/>
        <color theme="1"/>
        <rFont val="Calibri"/>
        <family val="2"/>
        <scheme val="minor"/>
      </rPr>
      <t>Pile Shape</t>
    </r>
    <r>
      <rPr>
        <sz val="11"/>
        <color theme="1"/>
        <rFont val="Calibri"/>
        <family val="2"/>
        <scheme val="minor"/>
      </rPr>
      <t xml:space="preserve"> - round or square piles may be selected; H-piles are considered square piles (see CRSI Pile Cap </t>
    </r>
  </si>
  <si>
    <t>Design Guide); pipe piles are considered round piles (see CRSI Pile Cap Design Guide)</t>
  </si>
  <si>
    <r>
      <rPr>
        <b/>
        <sz val="11"/>
        <color theme="1"/>
        <rFont val="Calibri"/>
        <family val="2"/>
        <scheme val="minor"/>
      </rPr>
      <t>Accidential Pile Offset</t>
    </r>
    <r>
      <rPr>
        <sz val="11"/>
        <color theme="1"/>
        <rFont val="Calibri"/>
        <family val="2"/>
        <scheme val="minor"/>
      </rPr>
      <t xml:space="preserve"> - pile location tolerence; increases shear and bending demands on pile cap;</t>
    </r>
  </si>
  <si>
    <r>
      <rPr>
        <b/>
        <sz val="11"/>
        <color theme="1"/>
        <rFont val="Calibri"/>
        <family val="2"/>
        <scheme val="minor"/>
      </rPr>
      <t>Minimum Pile Dimension d</t>
    </r>
    <r>
      <rPr>
        <b/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- is the pile diameter for round columns and the pile side dimension for square piles</t>
    </r>
  </si>
  <si>
    <r>
      <rPr>
        <b/>
        <sz val="11"/>
        <color theme="1"/>
        <rFont val="Calibri"/>
        <family val="2"/>
        <scheme val="minor"/>
      </rPr>
      <t>D</t>
    </r>
    <r>
      <rPr>
        <b/>
        <vertAlign val="subscript"/>
        <sz val="11"/>
        <color theme="1"/>
        <rFont val="Calibri"/>
        <family val="2"/>
        <scheme val="minor"/>
      </rPr>
      <t>min,recommended</t>
    </r>
    <r>
      <rPr>
        <sz val="11"/>
        <color theme="1"/>
        <rFont val="Calibri"/>
        <family val="2"/>
        <scheme val="minor"/>
      </rPr>
      <t xml:space="preserve"> - minimum recommended pile cap thickness based on limit state P4 (CRSI Pile Cap Design Guide)</t>
    </r>
  </si>
  <si>
    <r>
      <rPr>
        <b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- minimum pile cap width (long direction); automatically calculated based on pile spacing and edge distance</t>
    </r>
  </si>
  <si>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- minimum pile cap width (short direction); automatically calculated based on pile spacing and edge distance</t>
    </r>
  </si>
  <si>
    <r>
      <rPr>
        <b/>
        <sz val="11"/>
        <color theme="1"/>
        <rFont val="Calibri"/>
        <family val="2"/>
        <scheme val="minor"/>
      </rPr>
      <t>Short Bars Size (No.)</t>
    </r>
    <r>
      <rPr>
        <sz val="11"/>
        <color theme="1"/>
        <rFont val="Calibri"/>
        <family val="2"/>
        <scheme val="minor"/>
      </rPr>
      <t xml:space="preserve"> - selected reinforcement size for bars spanning in the "B" direction</t>
    </r>
  </si>
  <si>
    <r>
      <rPr>
        <b/>
        <sz val="11"/>
        <color theme="1"/>
        <rFont val="Calibri"/>
        <family val="2"/>
        <scheme val="minor"/>
      </rPr>
      <t>Long Bars Size (No.)</t>
    </r>
    <r>
      <rPr>
        <sz val="11"/>
        <color theme="1"/>
        <rFont val="Calibri"/>
        <family val="2"/>
        <scheme val="minor"/>
      </rPr>
      <t xml:space="preserve"> - selected reinforcement size for bars spanning in the "A" direction</t>
    </r>
  </si>
  <si>
    <r>
      <rPr>
        <b/>
        <sz val="11"/>
        <color theme="1"/>
        <rFont val="Calibri"/>
        <family val="2"/>
        <scheme val="minor"/>
      </rPr>
      <t>d</t>
    </r>
    <r>
      <rPr>
        <b/>
        <vertAlign val="subscript"/>
        <sz val="11"/>
        <color theme="1"/>
        <rFont val="Calibri"/>
        <family val="2"/>
        <scheme val="minor"/>
      </rPr>
      <t>short bars</t>
    </r>
    <r>
      <rPr>
        <sz val="11"/>
        <color theme="1"/>
        <rFont val="Calibri"/>
        <family val="2"/>
        <scheme val="minor"/>
      </rPr>
      <t xml:space="preserve"> - effective depth of concrete from top of cap to center of short bars (automatically calculated)</t>
    </r>
  </si>
  <si>
    <r>
      <rPr>
        <b/>
        <sz val="11"/>
        <color theme="1"/>
        <rFont val="Calibri"/>
        <family val="2"/>
        <scheme val="minor"/>
      </rPr>
      <t>d</t>
    </r>
    <r>
      <rPr>
        <b/>
        <vertAlign val="subscript"/>
        <sz val="11"/>
        <color theme="1"/>
        <rFont val="Calibri"/>
        <family val="2"/>
        <scheme val="minor"/>
      </rPr>
      <t>long bars</t>
    </r>
    <r>
      <rPr>
        <sz val="11"/>
        <color theme="1"/>
        <rFont val="Calibri"/>
        <family val="2"/>
        <scheme val="minor"/>
      </rPr>
      <t xml:space="preserve"> - effective depth of concrete from top of cap to center of long bars (automatically calculated)</t>
    </r>
  </si>
  <si>
    <t>box)</t>
  </si>
  <si>
    <r>
      <rPr>
        <b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- minimum edge distance from center of pile to edge of concrete; set by CRSI recommendations (see comment</t>
    </r>
  </si>
  <si>
    <r>
      <rPr>
        <b/>
        <sz val="11"/>
        <color theme="1"/>
        <rFont val="Calibri"/>
        <family val="2"/>
        <scheme val="minor"/>
      </rPr>
      <t>d</t>
    </r>
    <r>
      <rPr>
        <b/>
        <vertAlign val="subscript"/>
        <sz val="11"/>
        <color theme="1"/>
        <rFont val="Calibri"/>
        <family val="2"/>
        <scheme val="minor"/>
      </rPr>
      <t>shear checks</t>
    </r>
    <r>
      <rPr>
        <sz val="11"/>
        <color theme="1"/>
        <rFont val="Calibri"/>
        <family val="2"/>
        <scheme val="minor"/>
      </rPr>
      <t xml:space="preserve"> - the effective depth of the concrete for shear limit states; based on the Minimum Pile Embedment</t>
    </r>
  </si>
  <si>
    <r>
      <t>Clear Cover Over Top of Pile</t>
    </r>
    <r>
      <rPr>
        <sz val="11"/>
        <color theme="1"/>
        <rFont val="Calibri"/>
        <family val="2"/>
        <scheme val="minor"/>
      </rPr>
      <t xml:space="preserve"> - the clear distance from the top of the pile to the first layer of reinforcement;</t>
    </r>
  </si>
  <si>
    <t>the minimum value is set as the CRSI recommended minimum of 3 in.; the maximum value is arbitrarily set at 5 in.</t>
  </si>
  <si>
    <r>
      <rPr>
        <b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- user selected pile cap thickness; all resulting limit state design checks must be "ok"</t>
    </r>
  </si>
  <si>
    <t>the value is D minus 8 in. (automatically calcuated)</t>
  </si>
  <si>
    <t>plus the Clear Cover Over Top of Pile plus 1 inch; for steel piles the value is D minus 10 in.; for concrete/wood piles</t>
  </si>
  <si>
    <t>CRSI Limit State P1 Adequate?</t>
  </si>
  <si>
    <t>CRSI Limit State P2 Adequate?</t>
  </si>
  <si>
    <t>CRSI Limit State P3 Adequate?</t>
  </si>
  <si>
    <t>CRSI Limit State P4 Adequate?</t>
  </si>
  <si>
    <t>28 PILE CAP (Traditional CRSI Approach)</t>
  </si>
  <si>
    <t>30 PILE CAP (Traditional CRSI Approach)</t>
  </si>
  <si>
    <t>18 PILE CAP (Traditional CRSI Approach)</t>
  </si>
  <si>
    <t>factored shear demand is decreased by weight of concrete inside of critical section</t>
  </si>
  <si>
    <t>Lnth Add. Hook</t>
  </si>
  <si>
    <t>Make sure larger w is not within d/2</t>
  </si>
  <si>
    <r>
      <t>w</t>
    </r>
    <r>
      <rPr>
        <vertAlign val="subscript"/>
        <sz val="11"/>
        <color theme="1"/>
        <rFont val="Calibri"/>
        <family val="2"/>
        <scheme val="minor"/>
      </rPr>
      <t>average</t>
    </r>
  </si>
  <si>
    <t>Above</t>
  </si>
  <si>
    <t>Below</t>
  </si>
  <si>
    <t>Controlling</t>
  </si>
  <si>
    <t>Conservatively assuming w'/d=1.0,</t>
  </si>
  <si>
    <t xml:space="preserve">Users input the pile type/material, pile shape, pile allowable load, pile size, pile cap material properties, </t>
  </si>
  <si>
    <t>all limit states required by ACI and those recommended by CRSI.  The load combination used to change from pile</t>
  </si>
  <si>
    <t>The chosen load factor and strength reduction factor were chosen to provide a factor of safety against shear failure</t>
  </si>
  <si>
    <t>For a complete list of terms used in this spreadsheet, please see the CRSI Pile Cap Design Guide (2015).</t>
  </si>
  <si>
    <t xml:space="preserve">     and the edge of the base plate is equivalent to the size of the column.</t>
  </si>
  <si>
    <r>
      <t>7.  Pile Allowable Load is tabulated in tons, (D + L</t>
    </r>
    <r>
      <rPr>
        <vertAlign val="subscript"/>
        <sz val="9"/>
        <rFont val="Arial"/>
        <family val="2"/>
      </rPr>
      <t>floor</t>
    </r>
    <r>
      <rPr>
        <sz val="9"/>
        <rFont val="Arial"/>
        <family val="2"/>
      </rPr>
      <t>), as is usually done in accepted practice. The</t>
    </r>
  </si>
  <si>
    <r>
      <rPr>
        <b/>
        <sz val="11"/>
        <color theme="1"/>
        <rFont val="Calibri"/>
        <family val="2"/>
        <scheme val="minor"/>
      </rPr>
      <t>f'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- 28 day strength of concrete (limited to any value between 3,000 to 6,000 psi)</t>
    </r>
  </si>
  <si>
    <r>
      <rPr>
        <b/>
        <sz val="11"/>
        <color theme="1"/>
        <rFont val="Calibri"/>
        <family val="2"/>
        <scheme val="minor"/>
      </rPr>
      <t>f</t>
    </r>
    <r>
      <rPr>
        <b/>
        <vertAlign val="subscript"/>
        <sz val="11"/>
        <color theme="1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 xml:space="preserve"> - yield strength of steel reinforcement; limited any value between 60 ksi and 80 ksi</t>
    </r>
  </si>
  <si>
    <t>minimum set as CRSI recommended value of 3 in.; maximum value arbitrarily set at 24 in.</t>
  </si>
  <si>
    <t>Values between 20 tons and 550 tons may be selected.</t>
  </si>
  <si>
    <r>
      <rPr>
        <b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- center to center pile spacing; minimum set by CRSI recommendations; see comment box</t>
    </r>
  </si>
  <si>
    <t>Special Notes for Comparing Program Output with Tabulated Designs in Pile Cap Design Guide:</t>
  </si>
  <si>
    <t xml:space="preserve">equivalent to that which was used in the CRSI Design Handbook (2008). </t>
  </si>
  <si>
    <t>1.  For the 2 Pile Cap, the previous CRSI Design Handbook (2008) added an extra degree of conservatism when</t>
  </si>
  <si>
    <t>2.  For the 3 Pile Cap, one way shear is possible on either side of the column (i.e., with 1 pile or 2 piles causing</t>
  </si>
  <si>
    <t xml:space="preserve">     demand and and reduced area towards the pile).  The program considers both conditions and presents the worst</t>
  </si>
  <si>
    <t xml:space="preserve">     case results.</t>
  </si>
  <si>
    <t>3.  For pile caps with different distances w when considering orthogonal action and two way shear (e.g., 6 Pile Cap</t>
  </si>
  <si>
    <t xml:space="preserve">     and 8 Pile Cap), the program uses a slightly more conservative approach than the previous CRSI Design Handbook</t>
  </si>
  <si>
    <t xml:space="preserve">     w value (considering both directions) where this program uses the average demand capacity ratio for each w.</t>
  </si>
  <si>
    <t xml:space="preserve">     considerations.  The CRSI Pile Cap Design Guide (2015) and this software program also include this extra</t>
  </si>
  <si>
    <t xml:space="preserve">     determining the one way shear nominal strength.  Pile cap instability (weak axis) and one way action were</t>
  </si>
  <si>
    <t xml:space="preserve">     conservatism.  See 2 Pile Cap tab and Limit State 5 calculations for more information.</t>
  </si>
  <si>
    <t xml:space="preserve">     (2008) for determining the nominal shear strength for Limit State 4.  The previous approach used the average</t>
  </si>
  <si>
    <t>4.  CRSI Limit State P4 is very restrictive for thicker pile caps and may not be entirely applicable in some cases.</t>
  </si>
  <si>
    <t xml:space="preserve">     The spreadsheet conservatively applies it to all caps with corner piles but assumes the one way shear strength</t>
  </si>
  <si>
    <r>
      <t xml:space="preserve">     increasing the one way shear strength to 3(f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scheme val="minor"/>
      </rPr>
      <t xml:space="preserve"> is still conservative for these configurations.</t>
    </r>
  </si>
  <si>
    <r>
      <t xml:space="preserve">     is limited to 2(f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scheme val="minor"/>
      </rPr>
      <t xml:space="preserve"> which is very conservative when the critical distance from the cap is limited to 13 in.</t>
    </r>
  </si>
  <si>
    <t xml:space="preserve">     As a result, the design guide review committee has reviewed the results for the tabulated designs and believes that</t>
  </si>
  <si>
    <t>(reduced by C6 x pile cap wt., column f'c = 4 ksi)</t>
  </si>
  <si>
    <r>
      <t>allowable load to factored load is LF(D+L</t>
    </r>
    <r>
      <rPr>
        <vertAlign val="subscript"/>
        <sz val="9"/>
        <color theme="1"/>
        <rFont val="Arial"/>
        <family val="2"/>
      </rPr>
      <t>floor</t>
    </r>
    <r>
      <rPr>
        <sz val="9"/>
        <color theme="1"/>
        <rFont val="Arial"/>
        <family val="2"/>
      </rPr>
      <t xml:space="preserve">) and the assumed strength resistance factor for shear is </t>
    </r>
    <r>
      <rPr>
        <sz val="9"/>
        <color theme="1"/>
        <rFont val="Symbol"/>
        <family val="1"/>
        <charset val="2"/>
      </rPr>
      <t>f</t>
    </r>
    <r>
      <rPr>
        <sz val="9"/>
        <color theme="1"/>
        <rFont val="Arial"/>
        <family val="2"/>
      </rPr>
      <t xml:space="preserve"> = 0.75.</t>
    </r>
  </si>
  <si>
    <t xml:space="preserve">     An average load factor of is provided by the user.</t>
  </si>
  <si>
    <t>Load Factor =</t>
  </si>
  <si>
    <t>Pile Type =</t>
  </si>
  <si>
    <t>Pile Shape =</t>
  </si>
  <si>
    <r>
      <t>Concrete Comp. Strength, f'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</t>
    </r>
  </si>
  <si>
    <r>
      <t>Steel Reinforcing Yield, f</t>
    </r>
    <r>
      <rPr>
        <vertAlign val="subscript"/>
        <sz val="11"/>
        <color theme="1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>=</t>
    </r>
  </si>
  <si>
    <t>Accidential Pile Offset =</t>
  </si>
  <si>
    <t>Pile Allowable Load (ASD) =</t>
  </si>
  <si>
    <t>Minimum Pile Embedment =</t>
  </si>
  <si>
    <t>Clear Cover Over Top of Pile=</t>
  </si>
  <si>
    <t>Pile Spacing, L=</t>
  </si>
  <si>
    <t>ft.</t>
  </si>
  <si>
    <t>Pile Edge Distance, E=</t>
  </si>
  <si>
    <r>
      <t>Pile Cap D</t>
    </r>
    <r>
      <rPr>
        <vertAlign val="subscript"/>
        <sz val="11"/>
        <color theme="1"/>
        <rFont val="Calibri"/>
        <family val="2"/>
        <scheme val="minor"/>
      </rPr>
      <t>min, recommended</t>
    </r>
    <r>
      <rPr>
        <sz val="11"/>
        <color theme="1"/>
        <rFont val="Calibri"/>
        <family val="2"/>
        <scheme val="minor"/>
      </rPr>
      <t>=</t>
    </r>
  </si>
  <si>
    <r>
      <t>Pile Cap D</t>
    </r>
    <r>
      <rPr>
        <vertAlign val="subscript"/>
        <sz val="11"/>
        <color theme="1"/>
        <rFont val="Calibri"/>
        <family val="2"/>
        <scheme val="minor"/>
      </rPr>
      <t>cap</t>
    </r>
    <r>
      <rPr>
        <sz val="11"/>
        <color theme="1"/>
        <rFont val="Calibri"/>
        <family val="2"/>
        <scheme val="minor"/>
      </rPr>
      <t>=</t>
    </r>
  </si>
  <si>
    <t>Pile Cap Dimension A=</t>
  </si>
  <si>
    <t>Pile Cap Dimension B=</t>
  </si>
  <si>
    <t>Short Bars Size (No.) =</t>
  </si>
  <si>
    <t>Long Bars Size (No.) =</t>
  </si>
  <si>
    <r>
      <t>Reinf. Effective d</t>
    </r>
    <r>
      <rPr>
        <vertAlign val="subscript"/>
        <sz val="11"/>
        <color theme="1"/>
        <rFont val="Calibri"/>
        <family val="2"/>
        <scheme val="minor"/>
      </rPr>
      <t>short bars</t>
    </r>
    <r>
      <rPr>
        <sz val="11"/>
        <color theme="1"/>
        <rFont val="Calibri"/>
        <family val="2"/>
        <scheme val="minor"/>
      </rPr>
      <t xml:space="preserve"> = </t>
    </r>
  </si>
  <si>
    <r>
      <t>Reinf. Effective d</t>
    </r>
    <r>
      <rPr>
        <vertAlign val="subscript"/>
        <sz val="11"/>
        <color theme="1"/>
        <rFont val="Calibri"/>
        <family val="2"/>
        <scheme val="minor"/>
      </rPr>
      <t>long bars</t>
    </r>
    <r>
      <rPr>
        <sz val="11"/>
        <color theme="1"/>
        <rFont val="Calibri"/>
        <family val="2"/>
        <scheme val="minor"/>
      </rPr>
      <t xml:space="preserve"> = </t>
    </r>
  </si>
  <si>
    <r>
      <t>Reinf. Effective d</t>
    </r>
    <r>
      <rPr>
        <vertAlign val="subscript"/>
        <sz val="11"/>
        <color theme="1"/>
        <rFont val="Calibri"/>
        <family val="2"/>
        <scheme val="minor"/>
      </rPr>
      <t>shear checks</t>
    </r>
    <r>
      <rPr>
        <sz val="11"/>
        <color theme="1"/>
        <rFont val="Calibri"/>
        <family val="2"/>
        <scheme val="minor"/>
      </rPr>
      <t xml:space="preserve"> = </t>
    </r>
  </si>
  <si>
    <t>Min. Column Dimension c=</t>
  </si>
  <si>
    <r>
      <t>in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/ft</t>
    </r>
  </si>
  <si>
    <r>
      <t>in</t>
    </r>
    <r>
      <rPr>
        <vertAlign val="superscript"/>
        <sz val="9"/>
        <color theme="1"/>
        <rFont val="Calibri"/>
        <family val="2"/>
        <scheme val="minor"/>
      </rPr>
      <t>2</t>
    </r>
  </si>
  <si>
    <r>
      <t>A</t>
    </r>
    <r>
      <rPr>
        <vertAlign val="subscript"/>
        <sz val="11"/>
        <color theme="1"/>
        <rFont val="Calibri"/>
        <family val="2"/>
        <scheme val="minor"/>
      </rPr>
      <t>s,min,3</t>
    </r>
    <r>
      <rPr>
        <sz val="11"/>
        <color theme="1"/>
        <rFont val="Calibri"/>
        <family val="2"/>
        <scheme val="minor"/>
      </rPr>
      <t>=(0.0018 or 0.002)A</t>
    </r>
    <r>
      <rPr>
        <vertAlign val="subscript"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>=</t>
    </r>
  </si>
  <si>
    <t>E'=E-Offset =</t>
  </si>
  <si>
    <t>Req. number of short bars =</t>
  </si>
  <si>
    <t>Prov. number of short bars =</t>
  </si>
  <si>
    <t>Prov. number of long bars =</t>
  </si>
  <si>
    <t>No. of piles outside d/2 from face of the column =</t>
  </si>
  <si>
    <t>No. of piles outside d from face of the column =</t>
  </si>
  <si>
    <r>
      <t>M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/(V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d)=</t>
    </r>
  </si>
  <si>
    <t>Per ACI 318-11 Building Code</t>
  </si>
  <si>
    <t>Quantity =</t>
  </si>
  <si>
    <t>CY</t>
  </si>
  <si>
    <t>Comments:</t>
  </si>
  <si>
    <r>
      <t>A</t>
    </r>
    <r>
      <rPr>
        <vertAlign val="subscript"/>
        <sz val="11"/>
        <color theme="1"/>
        <rFont val="Calibri"/>
        <family val="2"/>
        <scheme val="minor"/>
      </rPr>
      <t>s,min,1</t>
    </r>
    <r>
      <rPr>
        <sz val="11"/>
        <color theme="1"/>
        <rFont val="Calibri"/>
        <family val="2"/>
        <scheme val="minor"/>
      </rPr>
      <t>=3(f'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)</t>
    </r>
    <r>
      <rPr>
        <vertAlign val="superscript"/>
        <sz val="11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d/f</t>
    </r>
    <r>
      <rPr>
        <vertAlign val="subscript"/>
        <sz val="11"/>
        <color theme="1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>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</si>
  <si>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s,min,2</t>
    </r>
    <r>
      <rPr>
        <sz val="11"/>
        <color theme="1"/>
        <rFont val="Calibri"/>
        <family val="2"/>
        <scheme val="minor"/>
      </rPr>
      <t>=200b</t>
    </r>
    <r>
      <rPr>
        <vertAlign val="subscript"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d/f</t>
    </r>
    <r>
      <rPr>
        <vertAlign val="subscript"/>
        <sz val="11"/>
        <color theme="1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>=</t>
    </r>
  </si>
  <si>
    <t>(continued)</t>
  </si>
  <si>
    <t>Pile Cap Design for 2 Piles</t>
  </si>
  <si>
    <t>Pile Cap Design for 3 Piles (Round Column)</t>
  </si>
  <si>
    <t>Pile Cap Design for 4 Piles</t>
  </si>
  <si>
    <t>Pile Cap Design for 5 Piles</t>
  </si>
  <si>
    <t>This program is a workbook consisting of twenty-seven (27) worksheets, described as follows:</t>
  </si>
  <si>
    <t>Pile Cap Design for 6 Piles</t>
  </si>
  <si>
    <t>Pile Cap Design for 7 Piles (Round Column)</t>
  </si>
  <si>
    <t>Pile Cap Design for 8 Piles</t>
  </si>
  <si>
    <t>Pile Cap Design for 9 Piles</t>
  </si>
  <si>
    <t>Pile Cap Design for 10 Piles</t>
  </si>
  <si>
    <t>Pile Cap Design for 11 Piles</t>
  </si>
  <si>
    <t>Pile Cap Design for 12 Piles</t>
  </si>
  <si>
    <t>Pile Cap Design for 13 Piles</t>
  </si>
  <si>
    <t>Pile Cap Design for 14 Piles</t>
  </si>
  <si>
    <t>Pile Cap Design for 15 Piles</t>
  </si>
  <si>
    <t>Pile Cap Design for 16 Piles</t>
  </si>
  <si>
    <t>Pile Cap Design for 17 Piles</t>
  </si>
  <si>
    <t>Pile Cap Design for 18 Piles</t>
  </si>
  <si>
    <t>Pile Cap Design for 19 Piles</t>
  </si>
  <si>
    <t>Pile Cap Design for 20 Piles</t>
  </si>
  <si>
    <t>Pile Cap Design for 21 Piles</t>
  </si>
  <si>
    <t>Pile Cap Design for 22 Piles</t>
  </si>
  <si>
    <t>Pile Cap Design for 23 Piles</t>
  </si>
  <si>
    <t>Pile Cap Design for 24 Piles</t>
  </si>
  <si>
    <t>Pile Cap Design for 26 Piles</t>
  </si>
  <si>
    <t>Pile Cap Design for 28 Piles</t>
  </si>
  <si>
    <t>Pile Cap Design for 30 Piles</t>
  </si>
  <si>
    <t xml:space="preserve">        (All Three Directions)</t>
  </si>
  <si>
    <t>Req. number of long bars =</t>
  </si>
  <si>
    <r>
      <t>w</t>
    </r>
    <r>
      <rPr>
        <vertAlign val="subscript"/>
        <sz val="11"/>
        <color theme="1"/>
        <rFont val="Calibri"/>
        <family val="2"/>
        <scheme val="minor"/>
      </rPr>
      <t>actual</t>
    </r>
    <r>
      <rPr>
        <sz val="11"/>
        <color theme="1"/>
        <rFont val="Calibri"/>
        <family val="2"/>
        <scheme val="minor"/>
      </rPr>
      <t>=</t>
    </r>
  </si>
  <si>
    <t>No. of piles outside face of the column =</t>
  </si>
  <si>
    <t>Bar Size (No.)=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</si>
</sst>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4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sz val="11"/>
      <color theme="1"/>
      <name val="MT Extra"/>
      <family val="1"/>
      <charset val="2"/>
    </font>
    <font>
      <b/>
      <vertAlign val="subscript"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Symbol"/>
      <family val="1"/>
      <charset val="2"/>
    </font>
    <font>
      <b/>
      <u/>
      <sz val="12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8"/>
      <color theme="1"/>
      <name val="Symbol"/>
      <family val="1"/>
      <charset val="2"/>
    </font>
    <font>
      <sz val="8"/>
      <color theme="1"/>
      <name val="MT Extra"/>
      <family val="1"/>
      <charset val="2"/>
    </font>
    <font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9"/>
      <color theme="1"/>
      <name val="Symbol"/>
      <family val="1"/>
      <charset val="2"/>
    </font>
    <font>
      <vertAlign val="subscript"/>
      <sz val="9"/>
      <color theme="1"/>
      <name val="Arial"/>
      <family val="2"/>
    </font>
    <font>
      <vertAlign val="subscript"/>
      <sz val="9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0" fillId="2" borderId="2" xfId="0" applyFill="1" applyBorder="1" applyAlignment="1" applyProtection="1">
      <alignment horizontal="centerContinuous"/>
      <protection hidden="1"/>
    </xf>
    <xf numFmtId="0" fontId="13" fillId="2" borderId="2" xfId="0" applyFont="1" applyFill="1" applyBorder="1" applyAlignment="1" applyProtection="1">
      <alignment horizontal="centerContinuous"/>
      <protection hidden="1"/>
    </xf>
    <xf numFmtId="0" fontId="0" fillId="2" borderId="3" xfId="0" applyFill="1" applyBorder="1" applyAlignment="1" applyProtection="1">
      <alignment horizontal="centerContinuous"/>
      <protection hidden="1"/>
    </xf>
    <xf numFmtId="0" fontId="14" fillId="2" borderId="4" xfId="0" applyFont="1" applyFill="1" applyBorder="1" applyAlignment="1" applyProtection="1">
      <alignment horizontal="centerContinuous"/>
      <protection hidden="1"/>
    </xf>
    <xf numFmtId="0" fontId="13" fillId="2" borderId="0" xfId="0" applyFont="1" applyFill="1" applyBorder="1" applyAlignment="1" applyProtection="1">
      <alignment horizontal="centerContinuous"/>
      <protection hidden="1"/>
    </xf>
    <xf numFmtId="0" fontId="14" fillId="2" borderId="0" xfId="0" applyFont="1" applyFill="1" applyBorder="1" applyAlignment="1" applyProtection="1">
      <alignment horizontal="centerContinuous"/>
      <protection hidden="1"/>
    </xf>
    <xf numFmtId="0" fontId="0" fillId="2" borderId="0" xfId="0" applyFill="1" applyBorder="1" applyAlignment="1" applyProtection="1">
      <alignment horizontal="centerContinuous"/>
      <protection hidden="1"/>
    </xf>
    <xf numFmtId="0" fontId="0" fillId="2" borderId="5" xfId="0" applyFill="1" applyBorder="1" applyAlignment="1" applyProtection="1">
      <alignment horizontal="centerContinuous"/>
      <protection hidden="1"/>
    </xf>
    <xf numFmtId="0" fontId="14" fillId="2" borderId="6" xfId="0" applyFont="1" applyFill="1" applyBorder="1" applyAlignment="1" applyProtection="1">
      <alignment horizontal="centerContinuous"/>
      <protection hidden="1"/>
    </xf>
    <xf numFmtId="0" fontId="13" fillId="2" borderId="7" xfId="0" applyFont="1" applyFill="1" applyBorder="1" applyAlignment="1" applyProtection="1">
      <alignment horizontal="centerContinuous"/>
      <protection hidden="1"/>
    </xf>
    <xf numFmtId="0" fontId="0" fillId="2" borderId="7" xfId="0" applyFill="1" applyBorder="1" applyAlignment="1" applyProtection="1">
      <alignment horizontal="centerContinuous"/>
      <protection hidden="1"/>
    </xf>
    <xf numFmtId="0" fontId="0" fillId="2" borderId="8" xfId="0" applyFill="1" applyBorder="1" applyAlignment="1" applyProtection="1">
      <alignment horizontal="centerContinuous"/>
      <protection hidden="1"/>
    </xf>
    <xf numFmtId="0" fontId="0" fillId="3" borderId="0" xfId="0" applyFill="1"/>
    <xf numFmtId="0" fontId="0" fillId="3" borderId="4" xfId="0" applyFill="1" applyBorder="1"/>
    <xf numFmtId="0" fontId="21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0" fillId="3" borderId="9" xfId="0" applyFill="1" applyBorder="1" applyAlignment="1" applyProtection="1">
      <alignment horizontal="right"/>
      <protection hidden="1"/>
    </xf>
    <xf numFmtId="0" fontId="33" fillId="3" borderId="10" xfId="0" applyFont="1" applyFill="1" applyBorder="1" applyProtection="1">
      <protection locked="0"/>
    </xf>
    <xf numFmtId="49" fontId="34" fillId="3" borderId="2" xfId="0" applyNumberFormat="1" applyFont="1" applyFill="1" applyBorder="1" applyProtection="1">
      <protection locked="0"/>
    </xf>
    <xf numFmtId="0" fontId="15" fillId="3" borderId="11" xfId="0" applyFont="1" applyFill="1" applyBorder="1" applyAlignment="1" applyProtection="1">
      <alignment horizontal="center"/>
      <protection hidden="1"/>
    </xf>
    <xf numFmtId="49" fontId="33" fillId="3" borderId="12" xfId="0" applyNumberFormat="1" applyFont="1" applyFill="1" applyBorder="1" applyAlignment="1" applyProtection="1">
      <alignment horizontal="left"/>
      <protection locked="0"/>
    </xf>
    <xf numFmtId="49" fontId="33" fillId="3" borderId="12" xfId="0" applyNumberFormat="1" applyFont="1" applyFill="1" applyBorder="1" applyProtection="1">
      <protection locked="0"/>
    </xf>
    <xf numFmtId="49" fontId="33" fillId="3" borderId="13" xfId="0" applyNumberFormat="1" applyFont="1" applyFill="1" applyBorder="1" applyProtection="1">
      <protection locked="0"/>
    </xf>
    <xf numFmtId="49" fontId="33" fillId="3" borderId="10" xfId="0" applyNumberFormat="1" applyFont="1" applyFill="1" applyBorder="1" applyAlignment="1" applyProtection="1">
      <protection locked="0"/>
    </xf>
    <xf numFmtId="0" fontId="15" fillId="3" borderId="9" xfId="0" applyFont="1" applyFill="1" applyBorder="1" applyAlignment="1" applyProtection="1">
      <alignment horizontal="center"/>
      <protection hidden="1"/>
    </xf>
    <xf numFmtId="49" fontId="33" fillId="3" borderId="11" xfId="0" applyNumberFormat="1" applyFont="1" applyFill="1" applyBorder="1" applyAlignment="1" applyProtection="1">
      <alignment horizontal="left"/>
      <protection locked="0"/>
    </xf>
    <xf numFmtId="0" fontId="16" fillId="3" borderId="11" xfId="0" applyFont="1" applyFill="1" applyBorder="1" applyAlignment="1" applyProtection="1">
      <alignment horizontal="center"/>
      <protection hidden="1"/>
    </xf>
    <xf numFmtId="49" fontId="33" fillId="3" borderId="11" xfId="0" applyNumberFormat="1" applyFont="1" applyFill="1" applyBorder="1" applyProtection="1">
      <protection locked="0"/>
    </xf>
    <xf numFmtId="0" fontId="36" fillId="3" borderId="0" xfId="0" applyFont="1" applyFill="1" applyBorder="1" applyProtection="1">
      <protection locked="0"/>
    </xf>
    <xf numFmtId="0" fontId="36" fillId="3" borderId="5" xfId="0" applyFont="1" applyFill="1" applyBorder="1" applyProtection="1">
      <protection locked="0"/>
    </xf>
    <xf numFmtId="3" fontId="0" fillId="3" borderId="0" xfId="0" applyNumberFormat="1" applyFill="1" applyProtection="1">
      <protection hidden="1"/>
    </xf>
    <xf numFmtId="0" fontId="0" fillId="3" borderId="0" xfId="0" applyFill="1" applyAlignment="1" applyProtection="1">
      <alignment horizontal="right"/>
      <protection hidden="1"/>
    </xf>
    <xf numFmtId="0" fontId="35" fillId="3" borderId="4" xfId="0" applyFont="1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0" xfId="0" applyFont="1" applyFill="1" applyBorder="1" applyAlignment="1" applyProtection="1">
      <alignment horizontal="right"/>
      <protection hidden="1"/>
    </xf>
    <xf numFmtId="0" fontId="0" fillId="3" borderId="0" xfId="0" applyFill="1" applyBorder="1" applyAlignment="1" applyProtection="1">
      <alignment horizontal="right"/>
      <protection hidden="1"/>
    </xf>
    <xf numFmtId="0" fontId="0" fillId="3" borderId="0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37" fillId="3" borderId="0" xfId="0" applyFont="1" applyFill="1" applyBorder="1" applyProtection="1">
      <protection hidden="1"/>
    </xf>
    <xf numFmtId="0" fontId="36" fillId="3" borderId="14" xfId="0" applyFont="1" applyFill="1" applyBorder="1" applyAlignment="1" applyProtection="1">
      <alignment horizontal="center"/>
      <protection hidden="1"/>
    </xf>
    <xf numFmtId="0" fontId="36" fillId="3" borderId="16" xfId="0" applyFont="1" applyFill="1" applyBorder="1" applyAlignment="1" applyProtection="1">
      <alignment horizontal="center"/>
      <protection hidden="1"/>
    </xf>
    <xf numFmtId="164" fontId="36" fillId="3" borderId="14" xfId="0" applyNumberFormat="1" applyFont="1" applyFill="1" applyBorder="1" applyAlignment="1" applyProtection="1">
      <alignment horizontal="center"/>
      <protection hidden="1"/>
    </xf>
    <xf numFmtId="165" fontId="36" fillId="3" borderId="14" xfId="0" applyNumberFormat="1" applyFont="1" applyFill="1" applyBorder="1" applyAlignment="1" applyProtection="1">
      <alignment horizontal="center"/>
      <protection hidden="1"/>
    </xf>
    <xf numFmtId="0" fontId="36" fillId="3" borderId="15" xfId="0" applyFont="1" applyFill="1" applyBorder="1" applyAlignment="1" applyProtection="1">
      <alignment horizontal="center"/>
      <protection hidden="1"/>
    </xf>
    <xf numFmtId="1" fontId="36" fillId="3" borderId="16" xfId="0" applyNumberFormat="1" applyFont="1" applyFill="1" applyBorder="1" applyAlignment="1" applyProtection="1">
      <alignment horizontal="center"/>
      <protection hidden="1"/>
    </xf>
    <xf numFmtId="0" fontId="1" fillId="3" borderId="6" xfId="0" applyFont="1" applyFill="1" applyBorder="1" applyProtection="1">
      <protection hidden="1"/>
    </xf>
    <xf numFmtId="0" fontId="0" fillId="3" borderId="7" xfId="0" applyFill="1" applyBorder="1" applyProtection="1">
      <protection hidden="1"/>
    </xf>
    <xf numFmtId="0" fontId="24" fillId="3" borderId="8" xfId="0" applyFont="1" applyFill="1" applyBorder="1" applyAlignment="1" applyProtection="1">
      <alignment horizontal="right"/>
      <protection hidden="1"/>
    </xf>
    <xf numFmtId="0" fontId="1" fillId="3" borderId="0" xfId="0" applyFont="1" applyFill="1" applyBorder="1" applyProtection="1">
      <protection hidden="1"/>
    </xf>
    <xf numFmtId="0" fontId="2" fillId="3" borderId="0" xfId="0" applyFont="1" applyFill="1" applyProtection="1">
      <protection hidden="1"/>
    </xf>
    <xf numFmtId="0" fontId="0" fillId="3" borderId="0" xfId="0" applyFont="1" applyFill="1" applyProtection="1">
      <protection hidden="1"/>
    </xf>
    <xf numFmtId="0" fontId="0" fillId="3" borderId="6" xfId="0" applyFill="1" applyBorder="1" applyProtection="1">
      <protection hidden="1"/>
    </xf>
    <xf numFmtId="0" fontId="1" fillId="3" borderId="7" xfId="0" applyFont="1" applyFill="1" applyBorder="1" applyProtection="1">
      <protection hidden="1"/>
    </xf>
    <xf numFmtId="0" fontId="0" fillId="3" borderId="8" xfId="0" applyFill="1" applyBorder="1" applyProtection="1">
      <protection hidden="1"/>
    </xf>
    <xf numFmtId="0" fontId="35" fillId="3" borderId="1" xfId="0" applyFont="1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3" xfId="0" applyFill="1" applyBorder="1" applyProtection="1">
      <protection hidden="1"/>
    </xf>
    <xf numFmtId="0" fontId="2" fillId="3" borderId="4" xfId="0" applyFont="1" applyFill="1" applyBorder="1" applyProtection="1">
      <protection hidden="1"/>
    </xf>
    <xf numFmtId="0" fontId="0" fillId="3" borderId="4" xfId="0" applyFill="1" applyBorder="1" applyAlignment="1" applyProtection="1">
      <alignment horizontal="right"/>
      <protection hidden="1"/>
    </xf>
    <xf numFmtId="2" fontId="36" fillId="3" borderId="14" xfId="0" applyNumberFormat="1" applyFont="1" applyFill="1" applyBorder="1" applyAlignment="1" applyProtection="1">
      <alignment horizontal="center"/>
      <protection hidden="1"/>
    </xf>
    <xf numFmtId="165" fontId="36" fillId="3" borderId="15" xfId="0" applyNumberFormat="1" applyFont="1" applyFill="1" applyBorder="1" applyAlignment="1" applyProtection="1">
      <alignment horizontal="center"/>
      <protection hidden="1"/>
    </xf>
    <xf numFmtId="0" fontId="38" fillId="3" borderId="1" xfId="0" applyFont="1" applyFill="1" applyBorder="1" applyProtection="1">
      <protection hidden="1"/>
    </xf>
    <xf numFmtId="165" fontId="36" fillId="3" borderId="16" xfId="0" applyNumberFormat="1" applyFont="1" applyFill="1" applyBorder="1" applyAlignment="1" applyProtection="1">
      <alignment horizontal="center"/>
      <protection hidden="1"/>
    </xf>
    <xf numFmtId="0" fontId="6" fillId="3" borderId="4" xfId="0" applyFont="1" applyFill="1" applyBorder="1" applyProtection="1">
      <protection hidden="1"/>
    </xf>
    <xf numFmtId="0" fontId="7" fillId="3" borderId="0" xfId="0" applyFont="1" applyFill="1" applyBorder="1" applyAlignment="1" applyProtection="1">
      <alignment horizontal="right"/>
      <protection hidden="1"/>
    </xf>
    <xf numFmtId="2" fontId="36" fillId="3" borderId="16" xfId="0" applyNumberFormat="1" applyFont="1" applyFill="1" applyBorder="1" applyAlignment="1" applyProtection="1">
      <alignment horizontal="center"/>
      <protection hidden="1"/>
    </xf>
    <xf numFmtId="0" fontId="38" fillId="3" borderId="4" xfId="0" applyFont="1" applyFill="1" applyBorder="1" applyProtection="1">
      <protection hidden="1"/>
    </xf>
    <xf numFmtId="2" fontId="36" fillId="3" borderId="15" xfId="0" applyNumberFormat="1" applyFont="1" applyFill="1" applyBorder="1" applyAlignment="1" applyProtection="1">
      <alignment horizontal="center"/>
      <protection hidden="1"/>
    </xf>
    <xf numFmtId="2" fontId="36" fillId="3" borderId="17" xfId="0" applyNumberFormat="1" applyFont="1" applyFill="1" applyBorder="1" applyAlignment="1" applyProtection="1">
      <alignment horizontal="center"/>
      <protection hidden="1"/>
    </xf>
    <xf numFmtId="0" fontId="0" fillId="3" borderId="0" xfId="0" applyFont="1" applyFill="1" applyBorder="1" applyProtection="1">
      <protection hidden="1"/>
    </xf>
    <xf numFmtId="0" fontId="0" fillId="3" borderId="4" xfId="0" applyFont="1" applyFill="1" applyBorder="1" applyAlignment="1" applyProtection="1">
      <alignment horizontal="right"/>
      <protection hidden="1"/>
    </xf>
    <xf numFmtId="0" fontId="36" fillId="3" borderId="11" xfId="0" applyFont="1" applyFill="1" applyBorder="1" applyAlignment="1" applyProtection="1">
      <alignment horizontal="center"/>
      <protection hidden="1"/>
    </xf>
    <xf numFmtId="0" fontId="0" fillId="3" borderId="2" xfId="0" applyFont="1" applyFill="1" applyBorder="1" applyProtection="1">
      <protection hidden="1"/>
    </xf>
    <xf numFmtId="0" fontId="0" fillId="3" borderId="3" xfId="0" applyFont="1" applyFill="1" applyBorder="1" applyProtection="1">
      <protection hidden="1"/>
    </xf>
    <xf numFmtId="0" fontId="0" fillId="3" borderId="4" xfId="0" applyFont="1" applyFill="1" applyBorder="1" applyProtection="1">
      <protection hidden="1"/>
    </xf>
    <xf numFmtId="0" fontId="0" fillId="3" borderId="5" xfId="0" applyFont="1" applyFill="1" applyBorder="1" applyProtection="1">
      <protection hidden="1"/>
    </xf>
    <xf numFmtId="2" fontId="36" fillId="3" borderId="11" xfId="0" applyNumberFormat="1" applyFont="1" applyFill="1" applyBorder="1" applyAlignment="1" applyProtection="1">
      <alignment horizontal="center"/>
      <protection hidden="1"/>
    </xf>
    <xf numFmtId="164" fontId="36" fillId="3" borderId="16" xfId="0" applyNumberFormat="1" applyFont="1" applyFill="1" applyBorder="1" applyAlignment="1" applyProtection="1">
      <alignment horizontal="center"/>
      <protection hidden="1"/>
    </xf>
    <xf numFmtId="164" fontId="36" fillId="3" borderId="11" xfId="0" applyNumberFormat="1" applyFont="1" applyFill="1" applyBorder="1" applyAlignment="1" applyProtection="1">
      <alignment horizontal="center"/>
      <protection hidden="1"/>
    </xf>
    <xf numFmtId="165" fontId="36" fillId="3" borderId="11" xfId="0" applyNumberFormat="1" applyFont="1" applyFill="1" applyBorder="1" applyAlignment="1" applyProtection="1">
      <alignment horizontal="center"/>
      <protection hidden="1"/>
    </xf>
    <xf numFmtId="0" fontId="36" fillId="4" borderId="14" xfId="0" applyFont="1" applyFill="1" applyBorder="1" applyAlignment="1" applyProtection="1">
      <alignment horizontal="center"/>
      <protection locked="0"/>
    </xf>
    <xf numFmtId="0" fontId="36" fillId="4" borderId="15" xfId="0" applyFont="1" applyFill="1" applyBorder="1" applyAlignment="1" applyProtection="1">
      <alignment horizontal="center"/>
      <protection locked="0"/>
    </xf>
    <xf numFmtId="0" fontId="36" fillId="4" borderId="16" xfId="0" applyFont="1" applyFill="1" applyBorder="1" applyAlignment="1" applyProtection="1">
      <alignment horizontal="center"/>
      <protection locked="0"/>
    </xf>
    <xf numFmtId="0" fontId="36" fillId="4" borderId="11" xfId="0" applyFont="1" applyFill="1" applyBorder="1" applyAlignment="1" applyProtection="1">
      <alignment horizontal="center"/>
      <protection locked="0"/>
    </xf>
    <xf numFmtId="0" fontId="36" fillId="3" borderId="7" xfId="0" applyFont="1" applyFill="1" applyBorder="1" applyProtection="1">
      <protection locked="0"/>
    </xf>
    <xf numFmtId="0" fontId="36" fillId="3" borderId="8" xfId="0" applyFont="1" applyFill="1" applyBorder="1" applyProtection="1">
      <protection locked="0"/>
    </xf>
    <xf numFmtId="0" fontId="36" fillId="3" borderId="4" xfId="0" applyFont="1" applyFill="1" applyBorder="1" applyProtection="1">
      <protection locked="0"/>
    </xf>
    <xf numFmtId="0" fontId="36" fillId="3" borderId="6" xfId="0" applyFont="1" applyFill="1" applyBorder="1" applyProtection="1">
      <protection locked="0"/>
    </xf>
    <xf numFmtId="0" fontId="20" fillId="3" borderId="0" xfId="0" applyFont="1" applyFill="1" applyAlignment="1" applyProtection="1">
      <alignment horizontal="centerContinuous"/>
      <protection hidden="1"/>
    </xf>
    <xf numFmtId="0" fontId="0" fillId="3" borderId="0" xfId="0" applyFill="1" applyAlignment="1" applyProtection="1">
      <alignment horizontal="centerContinuous"/>
      <protection hidden="1"/>
    </xf>
    <xf numFmtId="0" fontId="21" fillId="3" borderId="0" xfId="0" applyFont="1" applyFill="1" applyAlignment="1" applyProtection="1">
      <alignment horizontal="centerContinuous"/>
      <protection hidden="1"/>
    </xf>
    <xf numFmtId="0" fontId="22" fillId="3" borderId="0" xfId="0" applyFont="1" applyFill="1" applyProtection="1">
      <protection hidden="1"/>
    </xf>
    <xf numFmtId="0" fontId="23" fillId="3" borderId="0" xfId="0" applyFont="1" applyFill="1" applyProtection="1">
      <protection hidden="1"/>
    </xf>
    <xf numFmtId="0" fontId="23" fillId="3" borderId="0" xfId="0" applyFont="1" applyFill="1"/>
    <xf numFmtId="0" fontId="13" fillId="3" borderId="10" xfId="0" applyFont="1" applyFill="1" applyBorder="1" applyAlignment="1" applyProtection="1">
      <alignment horizontal="centerContinuous"/>
      <protection hidden="1"/>
    </xf>
    <xf numFmtId="0" fontId="0" fillId="3" borderId="12" xfId="0" applyFill="1" applyBorder="1" applyAlignment="1" applyProtection="1">
      <alignment horizontal="centerContinuous"/>
      <protection hidden="1"/>
    </xf>
    <xf numFmtId="0" fontId="0" fillId="3" borderId="13" xfId="0" applyFill="1" applyBorder="1" applyAlignment="1" applyProtection="1">
      <alignment horizontal="centerContinuous"/>
      <protection hidden="1"/>
    </xf>
    <xf numFmtId="0" fontId="13" fillId="3" borderId="12" xfId="0" applyFont="1" applyFill="1" applyBorder="1" applyAlignment="1" applyProtection="1">
      <alignment horizontal="centerContinuous"/>
      <protection hidden="1"/>
    </xf>
    <xf numFmtId="0" fontId="12" fillId="5" borderId="1" xfId="0" applyFont="1" applyFill="1" applyBorder="1" applyAlignment="1" applyProtection="1">
      <alignment horizontal="centerContinuous"/>
      <protection hidden="1"/>
    </xf>
    <xf numFmtId="0" fontId="0" fillId="5" borderId="2" xfId="0" applyFill="1" applyBorder="1" applyAlignment="1" applyProtection="1">
      <alignment horizontal="centerContinuous"/>
      <protection hidden="1"/>
    </xf>
    <xf numFmtId="0" fontId="13" fillId="5" borderId="2" xfId="0" applyFont="1" applyFill="1" applyBorder="1" applyAlignment="1" applyProtection="1">
      <alignment horizontal="centerContinuous"/>
      <protection hidden="1"/>
    </xf>
    <xf numFmtId="0" fontId="0" fillId="5" borderId="3" xfId="0" applyFill="1" applyBorder="1" applyAlignment="1" applyProtection="1">
      <alignment horizontal="centerContinuous"/>
      <protection hidden="1"/>
    </xf>
    <xf numFmtId="0" fontId="14" fillId="5" borderId="4" xfId="0" applyFont="1" applyFill="1" applyBorder="1" applyAlignment="1" applyProtection="1">
      <alignment horizontal="centerContinuous"/>
      <protection hidden="1"/>
    </xf>
    <xf numFmtId="0" fontId="13" fillId="5" borderId="0" xfId="0" applyFont="1" applyFill="1" applyBorder="1" applyAlignment="1" applyProtection="1">
      <alignment horizontal="centerContinuous"/>
      <protection hidden="1"/>
    </xf>
    <xf numFmtId="0" fontId="14" fillId="5" borderId="0" xfId="0" applyFont="1" applyFill="1" applyBorder="1" applyAlignment="1" applyProtection="1">
      <alignment horizontal="centerContinuous"/>
      <protection hidden="1"/>
    </xf>
    <xf numFmtId="0" fontId="0" fillId="5" borderId="0" xfId="0" applyFill="1" applyBorder="1" applyAlignment="1" applyProtection="1">
      <alignment horizontal="centerContinuous"/>
      <protection hidden="1"/>
    </xf>
    <xf numFmtId="0" fontId="0" fillId="5" borderId="5" xfId="0" applyFill="1" applyBorder="1" applyAlignment="1" applyProtection="1">
      <alignment horizontal="centerContinuous"/>
      <protection hidden="1"/>
    </xf>
    <xf numFmtId="0" fontId="13" fillId="5" borderId="7" xfId="0" applyFont="1" applyFill="1" applyBorder="1" applyAlignment="1" applyProtection="1">
      <alignment horizontal="centerContinuous"/>
      <protection hidden="1"/>
    </xf>
    <xf numFmtId="0" fontId="0" fillId="5" borderId="7" xfId="0" applyFill="1" applyBorder="1" applyAlignment="1" applyProtection="1">
      <alignment horizontal="centerContinuous"/>
      <protection hidden="1"/>
    </xf>
    <xf numFmtId="0" fontId="0" fillId="5" borderId="8" xfId="0" applyFill="1" applyBorder="1" applyAlignment="1" applyProtection="1">
      <alignment horizontal="centerContinuous"/>
      <protection hidden="1"/>
    </xf>
    <xf numFmtId="0" fontId="0" fillId="3" borderId="8" xfId="0" applyFont="1" applyFill="1" applyBorder="1" applyAlignment="1" applyProtection="1">
      <alignment horizontal="right"/>
      <protection hidden="1"/>
    </xf>
    <xf numFmtId="0" fontId="36" fillId="3" borderId="0" xfId="0" applyFont="1" applyFill="1" applyBorder="1" applyAlignment="1" applyProtection="1">
      <alignment horizontal="center"/>
      <protection hidden="1"/>
    </xf>
    <xf numFmtId="0" fontId="28" fillId="3" borderId="0" xfId="0" applyFont="1" applyFill="1" applyProtection="1">
      <protection hidden="1"/>
    </xf>
    <xf numFmtId="0" fontId="24" fillId="3" borderId="0" xfId="0" applyFont="1" applyFill="1" applyBorder="1" applyProtection="1">
      <protection hidden="1"/>
    </xf>
    <xf numFmtId="0" fontId="11" fillId="3" borderId="0" xfId="0" applyFont="1" applyFill="1" applyBorder="1" applyProtection="1">
      <protection hidden="1"/>
    </xf>
    <xf numFmtId="0" fontId="0" fillId="3" borderId="0" xfId="0" applyFill="1" applyBorder="1" applyProtection="1">
      <protection locked="0"/>
    </xf>
    <xf numFmtId="0" fontId="0" fillId="3" borderId="5" xfId="0" applyFill="1" applyBorder="1" applyProtection="1">
      <protection locked="0"/>
    </xf>
    <xf numFmtId="0" fontId="36" fillId="3" borderId="0" xfId="0" applyFont="1" applyFill="1" applyBorder="1" applyProtection="1">
      <protection hidden="1"/>
    </xf>
    <xf numFmtId="0" fontId="36" fillId="3" borderId="5" xfId="0" applyFont="1" applyFill="1" applyBorder="1" applyProtection="1">
      <protection hidden="1"/>
    </xf>
    <xf numFmtId="1" fontId="36" fillId="3" borderId="15" xfId="0" applyNumberFormat="1" applyFont="1" applyFill="1" applyBorder="1" applyAlignment="1" applyProtection="1">
      <alignment horizontal="center"/>
      <protection hidden="1"/>
    </xf>
    <xf numFmtId="0" fontId="36" fillId="3" borderId="18" xfId="0" applyFont="1" applyFill="1" applyBorder="1" applyAlignment="1" applyProtection="1">
      <alignment horizontal="center"/>
      <protection hidden="1"/>
    </xf>
    <xf numFmtId="0" fontId="36" fillId="3" borderId="17" xfId="0" applyFont="1" applyFill="1" applyBorder="1" applyAlignment="1" applyProtection="1">
      <alignment horizontal="center"/>
      <protection hidden="1"/>
    </xf>
    <xf numFmtId="165" fontId="36" fillId="3" borderId="18" xfId="0" applyNumberFormat="1" applyFont="1" applyFill="1" applyBorder="1" applyAlignment="1" applyProtection="1">
      <alignment horizontal="center"/>
      <protection hidden="1"/>
    </xf>
    <xf numFmtId="0" fontId="7" fillId="3" borderId="4" xfId="0" applyFont="1" applyFill="1" applyBorder="1" applyProtection="1">
      <protection hidden="1"/>
    </xf>
    <xf numFmtId="0" fontId="0" fillId="3" borderId="4" xfId="0" applyFill="1" applyBorder="1" applyAlignment="1" applyProtection="1">
      <protection hidden="1"/>
    </xf>
    <xf numFmtId="0" fontId="36" fillId="3" borderId="2" xfId="0" applyFont="1" applyFill="1" applyBorder="1" applyProtection="1">
      <protection locked="0"/>
    </xf>
    <xf numFmtId="0" fontId="36" fillId="3" borderId="3" xfId="0" applyFont="1" applyFill="1" applyBorder="1" applyProtection="1">
      <protection locked="0"/>
    </xf>
    <xf numFmtId="165" fontId="36" fillId="3" borderId="19" xfId="0" applyNumberFormat="1" applyFont="1" applyFill="1" applyBorder="1" applyAlignment="1" applyProtection="1">
      <alignment horizontal="center"/>
      <protection hidden="1"/>
    </xf>
    <xf numFmtId="165" fontId="36" fillId="3" borderId="20" xfId="0" applyNumberFormat="1" applyFont="1" applyFill="1" applyBorder="1" applyAlignment="1" applyProtection="1">
      <alignment horizontal="center"/>
      <protection hidden="1"/>
    </xf>
    <xf numFmtId="0" fontId="11" fillId="3" borderId="0" xfId="0" applyFont="1" applyFill="1" applyProtection="1">
      <protection hidden="1"/>
    </xf>
    <xf numFmtId="3" fontId="0" fillId="3" borderId="0" xfId="0" applyNumberFormat="1" applyFill="1"/>
    <xf numFmtId="0" fontId="0" fillId="3" borderId="0" xfId="0" applyFill="1" applyAlignment="1">
      <alignment horizontal="right"/>
    </xf>
    <xf numFmtId="0" fontId="11" fillId="3" borderId="0" xfId="0" applyFont="1" applyFill="1" applyBorder="1"/>
    <xf numFmtId="0" fontId="0" fillId="3" borderId="0" xfId="0" applyFill="1" applyBorder="1"/>
    <xf numFmtId="0" fontId="0" fillId="3" borderId="5" xfId="0" applyFill="1" applyBorder="1"/>
    <xf numFmtId="0" fontId="1" fillId="3" borderId="6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1" fillId="3" borderId="0" xfId="0" applyFont="1" applyFill="1" applyBorder="1"/>
    <xf numFmtId="0" fontId="2" fillId="3" borderId="0" xfId="0" applyFont="1" applyFill="1"/>
    <xf numFmtId="0" fontId="0" fillId="3" borderId="0" xfId="0" applyFont="1" applyFill="1"/>
    <xf numFmtId="0" fontId="0" fillId="3" borderId="6" xfId="0" applyFill="1" applyBorder="1"/>
    <xf numFmtId="0" fontId="1" fillId="3" borderId="7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6" fillId="3" borderId="4" xfId="0" applyFont="1" applyFill="1" applyBorder="1"/>
    <xf numFmtId="0" fontId="7" fillId="3" borderId="4" xfId="0" applyFont="1" applyFill="1" applyBorder="1"/>
    <xf numFmtId="0" fontId="0" fillId="3" borderId="0" xfId="0" applyFont="1" applyFill="1" applyBorder="1"/>
    <xf numFmtId="0" fontId="0" fillId="3" borderId="4" xfId="0" applyFont="1" applyFill="1" applyBorder="1"/>
    <xf numFmtId="0" fontId="14" fillId="5" borderId="6" xfId="0" applyFont="1" applyFill="1" applyBorder="1" applyAlignment="1" applyProtection="1">
      <alignment horizontal="centerContinuous"/>
      <protection hidden="1"/>
    </xf>
    <xf numFmtId="0" fontId="35" fillId="3" borderId="4" xfId="0" applyFont="1" applyFill="1" applyBorder="1"/>
    <xf numFmtId="0" fontId="38" fillId="3" borderId="4" xfId="0" applyFont="1" applyFill="1" applyBorder="1"/>
    <xf numFmtId="0" fontId="38" fillId="3" borderId="1" xfId="0" applyFont="1" applyFill="1" applyBorder="1"/>
    <xf numFmtId="0" fontId="0" fillId="3" borderId="4" xfId="0" applyFill="1" applyBorder="1" applyAlignment="1">
      <alignment horizontal="right"/>
    </xf>
    <xf numFmtId="0" fontId="0" fillId="3" borderId="4" xfId="0" applyFont="1" applyFill="1" applyBorder="1" applyAlignment="1">
      <alignment horizontal="right"/>
    </xf>
    <xf numFmtId="0" fontId="36" fillId="3" borderId="11" xfId="0" applyFont="1" applyFill="1" applyBorder="1" applyAlignment="1">
      <alignment horizontal="center"/>
    </xf>
    <xf numFmtId="0" fontId="37" fillId="3" borderId="0" xfId="0" applyFont="1" applyFill="1" applyBorder="1"/>
    <xf numFmtId="0" fontId="36" fillId="3" borderId="0" xfId="0" applyFont="1" applyFill="1" applyBorder="1"/>
    <xf numFmtId="0" fontId="36" fillId="3" borderId="5" xfId="0" applyFont="1" applyFill="1" applyBorder="1"/>
    <xf numFmtId="0" fontId="24" fillId="3" borderId="0" xfId="0" applyFont="1" applyFill="1" applyProtection="1">
      <protection hidden="1"/>
    </xf>
    <xf numFmtId="0" fontId="0" fillId="3" borderId="0" xfId="0" applyFill="1" applyBorder="1" applyAlignment="1">
      <alignment horizontal="right"/>
    </xf>
    <xf numFmtId="165" fontId="36" fillId="3" borderId="21" xfId="0" applyNumberFormat="1" applyFont="1" applyFill="1" applyBorder="1" applyAlignment="1" applyProtection="1">
      <alignment horizontal="center"/>
      <protection hidden="1"/>
    </xf>
    <xf numFmtId="2" fontId="36" fillId="3" borderId="20" xfId="0" applyNumberFormat="1" applyFont="1" applyFill="1" applyBorder="1" applyAlignment="1" applyProtection="1">
      <alignment horizontal="center"/>
      <protection hidden="1"/>
    </xf>
    <xf numFmtId="2" fontId="36" fillId="3" borderId="21" xfId="0" applyNumberFormat="1" applyFont="1" applyFill="1" applyBorder="1" applyAlignment="1" applyProtection="1">
      <alignment horizontal="center"/>
      <protection hidden="1"/>
    </xf>
    <xf numFmtId="0" fontId="11" fillId="3" borderId="4" xfId="0" applyFont="1" applyFill="1" applyBorder="1" applyProtection="1">
      <protection hidden="1"/>
    </xf>
    <xf numFmtId="0" fontId="0" fillId="3" borderId="4" xfId="0" applyFont="1" applyFill="1" applyBorder="1" applyAlignment="1" applyProtection="1">
      <protection hidden="1"/>
    </xf>
    <xf numFmtId="0" fontId="40" fillId="3" borderId="4" xfId="0" applyFont="1" applyFill="1" applyBorder="1" applyProtection="1">
      <protection hidden="1"/>
    </xf>
    <xf numFmtId="0" fontId="0" fillId="3" borderId="5" xfId="0" applyFont="1" applyFill="1" applyBorder="1" applyAlignment="1" applyProtection="1">
      <alignment horizontal="right"/>
      <protection hidden="1"/>
    </xf>
    <xf numFmtId="165" fontId="36" fillId="3" borderId="0" xfId="0" applyNumberFormat="1" applyFont="1" applyFill="1" applyAlignment="1" applyProtection="1">
      <alignment horizontal="center"/>
      <protection hidden="1"/>
    </xf>
    <xf numFmtId="0" fontId="21" fillId="3" borderId="22" xfId="0" applyFont="1" applyFill="1" applyBorder="1" applyAlignment="1" applyProtection="1">
      <alignment horizontal="centerContinuous"/>
      <protection hidden="1"/>
    </xf>
    <xf numFmtId="0" fontId="21" fillId="3" borderId="23" xfId="0" applyFont="1" applyFill="1" applyBorder="1" applyAlignment="1" applyProtection="1">
      <alignment horizontal="centerContinuous"/>
      <protection hidden="1"/>
    </xf>
    <xf numFmtId="0" fontId="21" fillId="3" borderId="24" xfId="0" applyFont="1" applyFill="1" applyBorder="1" applyAlignment="1" applyProtection="1">
      <alignment horizontal="centerContinuous"/>
      <protection hidden="1"/>
    </xf>
    <xf numFmtId="0" fontId="21" fillId="3" borderId="25" xfId="0" applyFont="1" applyFill="1" applyBorder="1" applyAlignment="1" applyProtection="1">
      <alignment horizontal="centerContinuous"/>
      <protection hidden="1"/>
    </xf>
    <xf numFmtId="0" fontId="21" fillId="3" borderId="26" xfId="0" applyFont="1" applyFill="1" applyBorder="1" applyAlignment="1" applyProtection="1">
      <alignment horizontal="centerContinuous"/>
      <protection hidden="1"/>
    </xf>
    <xf numFmtId="0" fontId="21" fillId="3" borderId="27" xfId="0" applyFont="1" applyFill="1" applyBorder="1" applyAlignment="1" applyProtection="1">
      <alignment horizontal="centerContinuous"/>
      <protection hidden="1"/>
    </xf>
    <xf numFmtId="0" fontId="21" fillId="3" borderId="28" xfId="0" applyFont="1" applyFill="1" applyBorder="1" applyAlignment="1" applyProtection="1">
      <alignment horizontal="centerContinuous"/>
      <protection hidden="1"/>
    </xf>
    <xf numFmtId="0" fontId="21" fillId="3" borderId="29" xfId="0" applyFont="1" applyFill="1" applyBorder="1" applyAlignment="1" applyProtection="1">
      <alignment horizontal="centerContinuous"/>
      <protection hidden="1"/>
    </xf>
    <xf numFmtId="0" fontId="21" fillId="3" borderId="30" xfId="0" applyFont="1" applyFill="1" applyBorder="1" applyAlignment="1" applyProtection="1">
      <alignment horizontal="centerContinuous"/>
      <protection hidden="1"/>
    </xf>
    <xf numFmtId="0" fontId="21" fillId="3" borderId="0" xfId="0" applyFont="1" applyFill="1" applyBorder="1" applyProtection="1">
      <protection hidden="1"/>
    </xf>
    <xf numFmtId="0" fontId="22" fillId="3" borderId="0" xfId="0" applyFont="1" applyFill="1" applyBorder="1" applyProtection="1"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39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image" Target="../media/image47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49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image" Target="../media/image5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219074</xdr:colOff>
      <xdr:row>7</xdr:row>
      <xdr:rowOff>57150</xdr:rowOff>
    </xdr:from>
    <xdr:to>
      <xdr:col>8</xdr:col>
      <xdr:colOff>152400</xdr:colOff>
      <xdr:row>14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13453" t="6177" r="7623" b="5084"/>
        <a:stretch/>
      </xdr:blipFill>
      <xdr:spPr bwMode="auto">
        <a:xfrm>
          <a:off x="3819524" y="1400175"/>
          <a:ext cx="1676401" cy="1504950"/>
        </a:xfrm>
        <a:prstGeom prst="rect">
          <a:avLst/>
        </a:prstGeom>
        <a:noFill/>
      </xdr:spPr>
    </xdr:pic>
    <xdr:clientData/>
  </xdr:twoCellAnchor>
  <xdr:twoCellAnchor>
    <xdr:from>
      <xdr:col>4</xdr:col>
      <xdr:colOff>533400</xdr:colOff>
      <xdr:row>15</xdr:row>
      <xdr:rowOff>123826</xdr:rowOff>
    </xdr:from>
    <xdr:to>
      <xdr:col>8</xdr:col>
      <xdr:colOff>257175</xdr:colOff>
      <xdr:row>18</xdr:row>
      <xdr:rowOff>161926</xdr:rowOff>
    </xdr:to>
    <xdr:sp macro="" textlink="">
      <xdr:nvSpPr>
        <xdr:cNvPr id="3" name="Text Box 48"/>
        <xdr:cNvSpPr txBox="1">
          <a:spLocks noChangeArrowheads="1"/>
        </xdr:cNvSpPr>
      </xdr:nvSpPr>
      <xdr:spPr bwMode="auto">
        <a:xfrm>
          <a:off x="3524250" y="309562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>
    <xdr:from>
      <xdr:col>5</xdr:col>
      <xdr:colOff>114301</xdr:colOff>
      <xdr:row>20</xdr:row>
      <xdr:rowOff>0</xdr:rowOff>
    </xdr:from>
    <xdr:to>
      <xdr:col>8</xdr:col>
      <xdr:colOff>304800</xdr:colOff>
      <xdr:row>26</xdr:row>
      <xdr:rowOff>200025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5383" r="4246" b="3685"/>
        <a:stretch/>
      </xdr:blipFill>
      <xdr:spPr>
        <a:xfrm>
          <a:off x="3714751" y="4000500"/>
          <a:ext cx="1933574" cy="1447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323850</xdr:colOff>
      <xdr:row>15</xdr:row>
      <xdr:rowOff>76201</xdr:rowOff>
    </xdr:from>
    <xdr:to>
      <xdr:col>8</xdr:col>
      <xdr:colOff>47625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352800" y="30003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4</xdr:col>
      <xdr:colOff>438151</xdr:colOff>
      <xdr:row>6</xdr:row>
      <xdr:rowOff>76201</xdr:rowOff>
    </xdr:from>
    <xdr:to>
      <xdr:col>8</xdr:col>
      <xdr:colOff>209550</xdr:colOff>
      <xdr:row>14</xdr:row>
      <xdr:rowOff>115963</xdr:rowOff>
    </xdr:to>
    <xdr:pic>
      <xdr:nvPicPr>
        <xdr:cNvPr id="163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67101" y="1181101"/>
          <a:ext cx="2124074" cy="166853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314593</xdr:colOff>
      <xdr:row>18</xdr:row>
      <xdr:rowOff>171450</xdr:rowOff>
    </xdr:from>
    <xdr:to>
      <xdr:col>8</xdr:col>
      <xdr:colOff>371475</xdr:colOff>
      <xdr:row>27</xdr:row>
      <xdr:rowOff>174400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3543" y="3705225"/>
          <a:ext cx="2409557" cy="1898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145425</xdr:colOff>
      <xdr:row>6</xdr:row>
      <xdr:rowOff>85725</xdr:rowOff>
    </xdr:from>
    <xdr:to>
      <xdr:col>8</xdr:col>
      <xdr:colOff>381000</xdr:colOff>
      <xdr:row>14</xdr:row>
      <xdr:rowOff>65946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83975" y="1209675"/>
          <a:ext cx="1978650" cy="1608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19</xdr:row>
      <xdr:rowOff>67419</xdr:rowOff>
    </xdr:from>
    <xdr:to>
      <xdr:col>8</xdr:col>
      <xdr:colOff>460893</xdr:colOff>
      <xdr:row>27</xdr:row>
      <xdr:rowOff>112763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0" y="3810744"/>
          <a:ext cx="2032518" cy="175031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15</xdr:row>
      <xdr:rowOff>76201</xdr:rowOff>
    </xdr:from>
    <xdr:to>
      <xdr:col>8</xdr:col>
      <xdr:colOff>76200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343275" y="30003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4</xdr:col>
      <xdr:colOff>447676</xdr:colOff>
      <xdr:row>6</xdr:row>
      <xdr:rowOff>38100</xdr:rowOff>
    </xdr:from>
    <xdr:to>
      <xdr:col>8</xdr:col>
      <xdr:colOff>171450</xdr:colOff>
      <xdr:row>14</xdr:row>
      <xdr:rowOff>55899</xdr:rowOff>
    </xdr:to>
    <xdr:pic>
      <xdr:nvPicPr>
        <xdr:cNvPr id="2151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38526" y="1143000"/>
          <a:ext cx="2076449" cy="164657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352424</xdr:colOff>
      <xdr:row>18</xdr:row>
      <xdr:rowOff>147457</xdr:rowOff>
    </xdr:from>
    <xdr:to>
      <xdr:col>8</xdr:col>
      <xdr:colOff>409574</xdr:colOff>
      <xdr:row>27</xdr:row>
      <xdr:rowOff>216685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3274" y="3681232"/>
          <a:ext cx="2409825" cy="196470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4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247650</xdr:colOff>
      <xdr:row>6</xdr:row>
      <xdr:rowOff>25688</xdr:rowOff>
    </xdr:from>
    <xdr:to>
      <xdr:col>8</xdr:col>
      <xdr:colOff>200025</xdr:colOff>
      <xdr:row>14</xdr:row>
      <xdr:rowOff>98214</xdr:rowOff>
    </xdr:to>
    <xdr:pic>
      <xdr:nvPicPr>
        <xdr:cNvPr id="2253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86200" y="1149638"/>
          <a:ext cx="1695450" cy="170130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295276</xdr:colOff>
      <xdr:row>18</xdr:row>
      <xdr:rowOff>87304</xdr:rowOff>
    </xdr:from>
    <xdr:to>
      <xdr:col>8</xdr:col>
      <xdr:colOff>437215</xdr:colOff>
      <xdr:row>27</xdr:row>
      <xdr:rowOff>201530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5726" y="3459154"/>
          <a:ext cx="1885014" cy="21398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15</xdr:row>
      <xdr:rowOff>76201</xdr:rowOff>
    </xdr:from>
    <xdr:to>
      <xdr:col>8</xdr:col>
      <xdr:colOff>561975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67150" y="30003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503959</xdr:colOff>
      <xdr:row>6</xdr:row>
      <xdr:rowOff>66674</xdr:rowOff>
    </xdr:from>
    <xdr:to>
      <xdr:col>8</xdr:col>
      <xdr:colOff>542925</xdr:colOff>
      <xdr:row>14</xdr:row>
      <xdr:rowOff>110537</xdr:rowOff>
    </xdr:to>
    <xdr:pic>
      <xdr:nvPicPr>
        <xdr:cNvPr id="2458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42509" y="1171574"/>
          <a:ext cx="1782041" cy="167263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333376</xdr:colOff>
      <xdr:row>20</xdr:row>
      <xdr:rowOff>49122</xdr:rowOff>
    </xdr:from>
    <xdr:to>
      <xdr:col>8</xdr:col>
      <xdr:colOff>567963</xdr:colOff>
      <xdr:row>28</xdr:row>
      <xdr:rowOff>164604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71926" y="4001997"/>
          <a:ext cx="1977662" cy="182045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4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209549</xdr:colOff>
      <xdr:row>6</xdr:row>
      <xdr:rowOff>80319</xdr:rowOff>
    </xdr:from>
    <xdr:to>
      <xdr:col>8</xdr:col>
      <xdr:colOff>123825</xdr:colOff>
      <xdr:row>14</xdr:row>
      <xdr:rowOff>112905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8099" y="1204269"/>
          <a:ext cx="1657351" cy="166136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180974</xdr:colOff>
      <xdr:row>18</xdr:row>
      <xdr:rowOff>107288</xdr:rowOff>
    </xdr:from>
    <xdr:to>
      <xdr:col>8</xdr:col>
      <xdr:colOff>200025</xdr:colOff>
      <xdr:row>28</xdr:row>
      <xdr:rowOff>1853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9524" y="3660113"/>
          <a:ext cx="1762126" cy="20186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15</xdr:row>
      <xdr:rowOff>28576</xdr:rowOff>
    </xdr:from>
    <xdr:to>
      <xdr:col>8</xdr:col>
      <xdr:colOff>533400</xdr:colOff>
      <xdr:row>18</xdr:row>
      <xdr:rowOff>66676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38575" y="29527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381000</xdr:colOff>
      <xdr:row>6</xdr:row>
      <xdr:rowOff>12528</xdr:rowOff>
    </xdr:from>
    <xdr:to>
      <xdr:col>8</xdr:col>
      <xdr:colOff>419100</xdr:colOff>
      <xdr:row>14</xdr:row>
      <xdr:rowOff>111125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117428"/>
          <a:ext cx="1781175" cy="172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247650</xdr:colOff>
      <xdr:row>20</xdr:row>
      <xdr:rowOff>132185</xdr:rowOff>
    </xdr:from>
    <xdr:to>
      <xdr:col>8</xdr:col>
      <xdr:colOff>367936</xdr:colOff>
      <xdr:row>28</xdr:row>
      <xdr:rowOff>145553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48100" y="4085060"/>
          <a:ext cx="1863361" cy="17183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15</xdr:row>
      <xdr:rowOff>76201</xdr:rowOff>
    </xdr:from>
    <xdr:to>
      <xdr:col>8</xdr:col>
      <xdr:colOff>361950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67125" y="301942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285749</xdr:colOff>
      <xdr:row>6</xdr:row>
      <xdr:rowOff>69578</xdr:rowOff>
    </xdr:from>
    <xdr:to>
      <xdr:col>8</xdr:col>
      <xdr:colOff>266700</xdr:colOff>
      <xdr:row>14</xdr:row>
      <xdr:rowOff>102396</xdr:rowOff>
    </xdr:to>
    <xdr:pic>
      <xdr:nvPicPr>
        <xdr:cNvPr id="3277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24299" y="1193528"/>
          <a:ext cx="1724026" cy="166159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261265</xdr:colOff>
      <xdr:row>19</xdr:row>
      <xdr:rowOff>95250</xdr:rowOff>
    </xdr:from>
    <xdr:to>
      <xdr:col>8</xdr:col>
      <xdr:colOff>438150</xdr:colOff>
      <xdr:row>28</xdr:row>
      <xdr:rowOff>65392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9815" y="3838575"/>
          <a:ext cx="1919960" cy="190371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200025</xdr:colOff>
      <xdr:row>6</xdr:row>
      <xdr:rowOff>71108</xdr:rowOff>
    </xdr:from>
    <xdr:to>
      <xdr:col>8</xdr:col>
      <xdr:colOff>285750</xdr:colOff>
      <xdr:row>14</xdr:row>
      <xdr:rowOff>111387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195058"/>
          <a:ext cx="1828800" cy="1669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161926</xdr:colOff>
      <xdr:row>19</xdr:row>
      <xdr:rowOff>114300</xdr:rowOff>
    </xdr:from>
    <xdr:to>
      <xdr:col>8</xdr:col>
      <xdr:colOff>390525</xdr:colOff>
      <xdr:row>28</xdr:row>
      <xdr:rowOff>134417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00476" y="3857625"/>
          <a:ext cx="1971674" cy="195369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114299</xdr:colOff>
      <xdr:row>6</xdr:row>
      <xdr:rowOff>36622</xdr:rowOff>
    </xdr:from>
    <xdr:to>
      <xdr:col>8</xdr:col>
      <xdr:colOff>361949</xdr:colOff>
      <xdr:row>14</xdr:row>
      <xdr:rowOff>158750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49" y="1160572"/>
          <a:ext cx="1990725" cy="175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129761</xdr:colOff>
      <xdr:row>18</xdr:row>
      <xdr:rowOff>142874</xdr:rowOff>
    </xdr:from>
    <xdr:to>
      <xdr:col>8</xdr:col>
      <xdr:colOff>464422</xdr:colOff>
      <xdr:row>28</xdr:row>
      <xdr:rowOff>117475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68311" y="3695699"/>
          <a:ext cx="2077736" cy="20986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14</xdr:row>
      <xdr:rowOff>142876</xdr:rowOff>
    </xdr:from>
    <xdr:to>
      <xdr:col>8</xdr:col>
      <xdr:colOff>400050</xdr:colOff>
      <xdr:row>17</xdr:row>
      <xdr:rowOff>180976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67125" y="271462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6</xdr:col>
      <xdr:colOff>9525</xdr:colOff>
      <xdr:row>6</xdr:row>
      <xdr:rowOff>99530</xdr:rowOff>
    </xdr:from>
    <xdr:to>
      <xdr:col>8</xdr:col>
      <xdr:colOff>295276</xdr:colOff>
      <xdr:row>13</xdr:row>
      <xdr:rowOff>190366</xdr:rowOff>
    </xdr:to>
    <xdr:pic>
      <xdr:nvPicPr>
        <xdr:cNvPr id="512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19575" y="1213955"/>
          <a:ext cx="1419226" cy="152911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342899</xdr:colOff>
      <xdr:row>20</xdr:row>
      <xdr:rowOff>115012</xdr:rowOff>
    </xdr:from>
    <xdr:to>
      <xdr:col>8</xdr:col>
      <xdr:colOff>495299</xdr:colOff>
      <xdr:row>28</xdr:row>
      <xdr:rowOff>42140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43349" y="3905962"/>
          <a:ext cx="1895475" cy="174005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15</xdr:row>
      <xdr:rowOff>76201</xdr:rowOff>
    </xdr:from>
    <xdr:to>
      <xdr:col>8</xdr:col>
      <xdr:colOff>523875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29050" y="301942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6</xdr:col>
      <xdr:colOff>66675</xdr:colOff>
      <xdr:row>6</xdr:row>
      <xdr:rowOff>57150</xdr:rowOff>
    </xdr:from>
    <xdr:to>
      <xdr:col>8</xdr:col>
      <xdr:colOff>552450</xdr:colOff>
      <xdr:row>14</xdr:row>
      <xdr:rowOff>90825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4825" y="1181100"/>
          <a:ext cx="1619250" cy="1662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457200</xdr:colOff>
      <xdr:row>20</xdr:row>
      <xdr:rowOff>46416</xdr:rowOff>
    </xdr:from>
    <xdr:to>
      <xdr:col>8</xdr:col>
      <xdr:colOff>542925</xdr:colOff>
      <xdr:row>28</xdr:row>
      <xdr:rowOff>140861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0" y="4018341"/>
          <a:ext cx="1828800" cy="179942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15</xdr:row>
      <xdr:rowOff>9526</xdr:rowOff>
    </xdr:from>
    <xdr:to>
      <xdr:col>8</xdr:col>
      <xdr:colOff>542925</xdr:colOff>
      <xdr:row>18</xdr:row>
      <xdr:rowOff>47626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48100" y="293370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561757</xdr:colOff>
      <xdr:row>6</xdr:row>
      <xdr:rowOff>76200</xdr:rowOff>
    </xdr:from>
    <xdr:to>
      <xdr:col>8</xdr:col>
      <xdr:colOff>565149</xdr:colOff>
      <xdr:row>14</xdr:row>
      <xdr:rowOff>75843</xdr:rowOff>
    </xdr:to>
    <xdr:pic>
      <xdr:nvPicPr>
        <xdr:cNvPr id="4404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00307" y="1181100"/>
          <a:ext cx="1733767" cy="161889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361014</xdr:colOff>
      <xdr:row>20</xdr:row>
      <xdr:rowOff>76199</xdr:rowOff>
    </xdr:from>
    <xdr:to>
      <xdr:col>8</xdr:col>
      <xdr:colOff>574674</xdr:colOff>
      <xdr:row>28</xdr:row>
      <xdr:rowOff>165910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99564" y="4029074"/>
          <a:ext cx="1944035" cy="177246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15</xdr:row>
      <xdr:rowOff>76201</xdr:rowOff>
    </xdr:from>
    <xdr:to>
      <xdr:col>8</xdr:col>
      <xdr:colOff>542925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10000" y="2705101"/>
          <a:ext cx="2076450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525811</xdr:colOff>
      <xdr:row>6</xdr:row>
      <xdr:rowOff>19050</xdr:rowOff>
    </xdr:from>
    <xdr:to>
      <xdr:col>8</xdr:col>
      <xdr:colOff>561975</xdr:colOff>
      <xdr:row>14</xdr:row>
      <xdr:rowOff>120650</xdr:rowOff>
    </xdr:to>
    <xdr:pic>
      <xdr:nvPicPr>
        <xdr:cNvPr id="4813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6261" y="933450"/>
          <a:ext cx="1779239" cy="1730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418853</xdr:colOff>
      <xdr:row>20</xdr:row>
      <xdr:rowOff>66675</xdr:rowOff>
    </xdr:from>
    <xdr:to>
      <xdr:col>8</xdr:col>
      <xdr:colOff>523005</xdr:colOff>
      <xdr:row>28</xdr:row>
      <xdr:rowOff>91832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19303" y="3676650"/>
          <a:ext cx="1847227" cy="173013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308391</xdr:colOff>
      <xdr:row>6</xdr:row>
      <xdr:rowOff>28575</xdr:rowOff>
    </xdr:from>
    <xdr:to>
      <xdr:col>8</xdr:col>
      <xdr:colOff>285750</xdr:colOff>
      <xdr:row>14</xdr:row>
      <xdr:rowOff>83303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941" y="1152525"/>
          <a:ext cx="1720434" cy="1683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239077</xdr:colOff>
      <xdr:row>18</xdr:row>
      <xdr:rowOff>161924</xdr:rowOff>
    </xdr:from>
    <xdr:to>
      <xdr:col>8</xdr:col>
      <xdr:colOff>381000</xdr:colOff>
      <xdr:row>28</xdr:row>
      <xdr:rowOff>40216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7627" y="3714749"/>
          <a:ext cx="1884998" cy="200236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14</xdr:row>
      <xdr:rowOff>171451</xdr:rowOff>
    </xdr:from>
    <xdr:to>
      <xdr:col>8</xdr:col>
      <xdr:colOff>542925</xdr:colOff>
      <xdr:row>18</xdr:row>
      <xdr:rowOff>19051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48100" y="29241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6</xdr:col>
      <xdr:colOff>1</xdr:colOff>
      <xdr:row>6</xdr:row>
      <xdr:rowOff>38075</xdr:rowOff>
    </xdr:from>
    <xdr:to>
      <xdr:col>8</xdr:col>
      <xdr:colOff>523876</xdr:colOff>
      <xdr:row>14</xdr:row>
      <xdr:rowOff>8041</xdr:rowOff>
    </xdr:to>
    <xdr:pic>
      <xdr:nvPicPr>
        <xdr:cNvPr id="4916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48151" y="1162025"/>
          <a:ext cx="1657350" cy="159874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352425</xdr:colOff>
      <xdr:row>20</xdr:row>
      <xdr:rowOff>36689</xdr:rowOff>
    </xdr:from>
    <xdr:to>
      <xdr:col>8</xdr:col>
      <xdr:colOff>561976</xdr:colOff>
      <xdr:row>28</xdr:row>
      <xdr:rowOff>148520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90975" y="4008614"/>
          <a:ext cx="1952626" cy="181680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227765</xdr:colOff>
      <xdr:row>6</xdr:row>
      <xdr:rowOff>28575</xdr:rowOff>
    </xdr:from>
    <xdr:to>
      <xdr:col>8</xdr:col>
      <xdr:colOff>266699</xdr:colOff>
      <xdr:row>14</xdr:row>
      <xdr:rowOff>143522</xdr:rowOff>
    </xdr:to>
    <xdr:pic>
      <xdr:nvPicPr>
        <xdr:cNvPr id="4096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6315" y="1152525"/>
          <a:ext cx="1782009" cy="174372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210227</xdr:colOff>
      <xdr:row>18</xdr:row>
      <xdr:rowOff>142875</xdr:rowOff>
    </xdr:from>
    <xdr:to>
      <xdr:col>8</xdr:col>
      <xdr:colOff>409575</xdr:colOff>
      <xdr:row>28</xdr:row>
      <xdr:rowOff>51071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48777" y="3695700"/>
          <a:ext cx="1942423" cy="203227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38101</xdr:rowOff>
    </xdr:from>
    <xdr:to>
      <xdr:col>8</xdr:col>
      <xdr:colOff>342900</xdr:colOff>
      <xdr:row>18</xdr:row>
      <xdr:rowOff>76201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48075" y="29622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156328</xdr:colOff>
      <xdr:row>6</xdr:row>
      <xdr:rowOff>28575</xdr:rowOff>
    </xdr:from>
    <xdr:to>
      <xdr:col>8</xdr:col>
      <xdr:colOff>352425</xdr:colOff>
      <xdr:row>14</xdr:row>
      <xdr:rowOff>97139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4878" y="1133475"/>
          <a:ext cx="1939172" cy="1697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209549</xdr:colOff>
      <xdr:row>18</xdr:row>
      <xdr:rowOff>151622</xdr:rowOff>
    </xdr:from>
    <xdr:to>
      <xdr:col>8</xdr:col>
      <xdr:colOff>495299</xdr:colOff>
      <xdr:row>28</xdr:row>
      <xdr:rowOff>357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48099" y="3685397"/>
          <a:ext cx="2028825" cy="1966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09975" y="2705101"/>
          <a:ext cx="2076450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337825</xdr:colOff>
      <xdr:row>6</xdr:row>
      <xdr:rowOff>104775</xdr:rowOff>
    </xdr:from>
    <xdr:to>
      <xdr:col>8</xdr:col>
      <xdr:colOff>242574</xdr:colOff>
      <xdr:row>14</xdr:row>
      <xdr:rowOff>140494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38275" y="1238250"/>
          <a:ext cx="1647824" cy="166449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371475</xdr:colOff>
      <xdr:row>18</xdr:row>
      <xdr:rowOff>179639</xdr:rowOff>
    </xdr:from>
    <xdr:to>
      <xdr:col>8</xdr:col>
      <xdr:colOff>347348</xdr:colOff>
      <xdr:row>27</xdr:row>
      <xdr:rowOff>215788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71925" y="3732464"/>
          <a:ext cx="1718948" cy="1931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14</xdr:row>
      <xdr:rowOff>152401</xdr:rowOff>
    </xdr:from>
    <xdr:to>
      <xdr:col>8</xdr:col>
      <xdr:colOff>342900</xdr:colOff>
      <xdr:row>18</xdr:row>
      <xdr:rowOff>1</xdr:rowOff>
    </xdr:to>
    <xdr:sp macro="" textlink="">
      <xdr:nvSpPr>
        <xdr:cNvPr id="5" name="Text Box 48"/>
        <xdr:cNvSpPr txBox="1">
          <a:spLocks noChangeArrowheads="1"/>
        </xdr:cNvSpPr>
      </xdr:nvSpPr>
      <xdr:spPr bwMode="auto">
        <a:xfrm>
          <a:off x="3609975" y="293370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314325</xdr:colOff>
      <xdr:row>6</xdr:row>
      <xdr:rowOff>95250</xdr:rowOff>
    </xdr:from>
    <xdr:to>
      <xdr:col>8</xdr:col>
      <xdr:colOff>209550</xdr:colOff>
      <xdr:row>13</xdr:row>
      <xdr:rowOff>171048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14775" y="1247775"/>
          <a:ext cx="1638300" cy="151407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287702</xdr:colOff>
      <xdr:row>18</xdr:row>
      <xdr:rowOff>180975</xdr:rowOff>
    </xdr:from>
    <xdr:to>
      <xdr:col>8</xdr:col>
      <xdr:colOff>228600</xdr:colOff>
      <xdr:row>27</xdr:row>
      <xdr:rowOff>208837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88152" y="3762375"/>
          <a:ext cx="1683973" cy="19233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5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95250</xdr:colOff>
      <xdr:row>6</xdr:row>
      <xdr:rowOff>152400</xdr:rowOff>
    </xdr:from>
    <xdr:to>
      <xdr:col>8</xdr:col>
      <xdr:colOff>133350</xdr:colOff>
      <xdr:row>13</xdr:row>
      <xdr:rowOff>178628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1257300"/>
          <a:ext cx="1781175" cy="146450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517166</xdr:colOff>
      <xdr:row>19</xdr:row>
      <xdr:rowOff>38100</xdr:rowOff>
    </xdr:from>
    <xdr:to>
      <xdr:col>8</xdr:col>
      <xdr:colOff>478409</xdr:colOff>
      <xdr:row>28</xdr:row>
      <xdr:rowOff>61697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08016" y="3762375"/>
          <a:ext cx="2313918" cy="19571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209550</xdr:colOff>
      <xdr:row>19</xdr:row>
      <xdr:rowOff>54240</xdr:rowOff>
    </xdr:from>
    <xdr:to>
      <xdr:col>8</xdr:col>
      <xdr:colOff>184975</xdr:colOff>
      <xdr:row>27</xdr:row>
      <xdr:rowOff>142833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0" y="3788040"/>
          <a:ext cx="1718500" cy="1793568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6</xdr:row>
      <xdr:rowOff>133350</xdr:rowOff>
    </xdr:from>
    <xdr:to>
      <xdr:col>8</xdr:col>
      <xdr:colOff>57150</xdr:colOff>
      <xdr:row>13</xdr:row>
      <xdr:rowOff>169231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95725" y="1095375"/>
          <a:ext cx="1504950" cy="156305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28576</xdr:rowOff>
    </xdr:from>
    <xdr:to>
      <xdr:col>8</xdr:col>
      <xdr:colOff>342900</xdr:colOff>
      <xdr:row>18</xdr:row>
      <xdr:rowOff>66676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48075" y="297180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152400</xdr:colOff>
      <xdr:row>6</xdr:row>
      <xdr:rowOff>38100</xdr:rowOff>
    </xdr:from>
    <xdr:to>
      <xdr:col>8</xdr:col>
      <xdr:colOff>152400</xdr:colOff>
      <xdr:row>14</xdr:row>
      <xdr:rowOff>76176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52850" y="1000125"/>
          <a:ext cx="1743075" cy="175575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199931</xdr:colOff>
      <xdr:row>18</xdr:row>
      <xdr:rowOff>152400</xdr:rowOff>
    </xdr:from>
    <xdr:to>
      <xdr:col>8</xdr:col>
      <xdr:colOff>190500</xdr:colOff>
      <xdr:row>27</xdr:row>
      <xdr:rowOff>86731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8481" y="3686175"/>
          <a:ext cx="1733644" cy="18298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76201</xdr:rowOff>
    </xdr:from>
    <xdr:to>
      <xdr:col>8</xdr:col>
      <xdr:colOff>342900</xdr:colOff>
      <xdr:row>18</xdr:row>
      <xdr:rowOff>114301</xdr:rowOff>
    </xdr:to>
    <xdr:sp macro="" textlink="">
      <xdr:nvSpPr>
        <xdr:cNvPr id="5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247650</xdr:colOff>
      <xdr:row>6</xdr:row>
      <xdr:rowOff>161924</xdr:rowOff>
    </xdr:from>
    <xdr:to>
      <xdr:col>8</xdr:col>
      <xdr:colOff>0</xdr:colOff>
      <xdr:row>14</xdr:row>
      <xdr:rowOff>117859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8100" y="1123949"/>
          <a:ext cx="1495425" cy="168313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180785</xdr:colOff>
      <xdr:row>18</xdr:row>
      <xdr:rowOff>104774</xdr:rowOff>
    </xdr:from>
    <xdr:to>
      <xdr:col>8</xdr:col>
      <xdr:colOff>133350</xdr:colOff>
      <xdr:row>27</xdr:row>
      <xdr:rowOff>168560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9335" y="3657599"/>
          <a:ext cx="1695640" cy="19592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15</xdr:row>
      <xdr:rowOff>171451</xdr:rowOff>
    </xdr:from>
    <xdr:to>
      <xdr:col>8</xdr:col>
      <xdr:colOff>142875</xdr:colOff>
      <xdr:row>19</xdr:row>
      <xdr:rowOff>19051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448050" y="31146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4</xdr:col>
      <xdr:colOff>470365</xdr:colOff>
      <xdr:row>6</xdr:row>
      <xdr:rowOff>104774</xdr:rowOff>
    </xdr:from>
    <xdr:to>
      <xdr:col>8</xdr:col>
      <xdr:colOff>409575</xdr:colOff>
      <xdr:row>14</xdr:row>
      <xdr:rowOff>180752</xdr:rowOff>
    </xdr:to>
    <xdr:pic>
      <xdr:nvPicPr>
        <xdr:cNvPr id="1537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99315" y="1228724"/>
          <a:ext cx="2291885" cy="170475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419100</xdr:colOff>
      <xdr:row>19</xdr:row>
      <xdr:rowOff>124597</xdr:rowOff>
    </xdr:from>
    <xdr:to>
      <xdr:col>8</xdr:col>
      <xdr:colOff>409575</xdr:colOff>
      <xdr:row>28</xdr:row>
      <xdr:rowOff>65954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48050" y="3867922"/>
          <a:ext cx="2343150" cy="18749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"/>
  <sheetViews>
    <sheetView tabSelected="1" zoomScaleNormal="100" workbookViewId="0">
      <selection activeCell="A166" sqref="A166"/>
    </sheetView>
  </sheetViews>
  <sheetFormatPr defaultRowHeight="15" x14ac:dyDescent="0.25"/>
  <cols>
    <col min="1" max="16384" width="9.140625" style="13"/>
  </cols>
  <sheetData>
    <row r="1" spans="1:11" ht="15.6" x14ac:dyDescent="0.35">
      <c r="A1" s="89" t="s">
        <v>158</v>
      </c>
      <c r="B1" s="90"/>
      <c r="C1" s="90"/>
      <c r="D1" s="90"/>
      <c r="E1" s="90"/>
      <c r="F1" s="90"/>
      <c r="G1" s="90"/>
      <c r="H1" s="90"/>
      <c r="I1" s="90"/>
      <c r="J1" s="90"/>
      <c r="K1" s="16"/>
    </row>
    <row r="2" spans="1:11" ht="14.45" x14ac:dyDescent="0.35">
      <c r="A2" s="91"/>
      <c r="B2" s="90"/>
      <c r="C2" s="90"/>
      <c r="D2" s="90"/>
      <c r="E2" s="90"/>
      <c r="F2" s="90"/>
      <c r="G2" s="90"/>
      <c r="H2" s="90"/>
      <c r="I2" s="90"/>
      <c r="J2" s="90"/>
      <c r="K2" s="16"/>
    </row>
    <row r="3" spans="1:11" ht="14.45" x14ac:dyDescent="0.35">
      <c r="A3" s="92" t="s">
        <v>148</v>
      </c>
      <c r="B3" s="16"/>
      <c r="C3" s="16"/>
      <c r="D3" s="16"/>
      <c r="E3" s="16"/>
      <c r="F3" s="16"/>
      <c r="G3" s="16"/>
      <c r="H3" s="16"/>
      <c r="I3" s="16"/>
      <c r="J3" s="16"/>
      <c r="K3" s="16"/>
    </row>
    <row r="4" spans="1:11" ht="14.45" x14ac:dyDescent="0.35">
      <c r="A4" s="15"/>
      <c r="B4" s="15"/>
      <c r="C4" s="15"/>
      <c r="D4" s="15"/>
      <c r="E4" s="15"/>
      <c r="F4" s="15"/>
      <c r="G4" s="15"/>
      <c r="H4" s="15"/>
      <c r="I4" s="15"/>
      <c r="J4" s="15"/>
      <c r="K4" s="16"/>
    </row>
    <row r="5" spans="1:11" s="94" customFormat="1" ht="11.45" x14ac:dyDescent="0.25">
      <c r="A5" s="15" t="s">
        <v>185</v>
      </c>
      <c r="B5" s="15"/>
      <c r="C5" s="15"/>
      <c r="D5" s="15"/>
      <c r="E5" s="15"/>
      <c r="F5" s="15"/>
      <c r="G5" s="15"/>
      <c r="H5" s="15"/>
      <c r="I5" s="15"/>
      <c r="J5" s="15"/>
      <c r="K5" s="93"/>
    </row>
    <row r="6" spans="1:11" s="94" customFormat="1" ht="11.45" x14ac:dyDescent="0.25">
      <c r="A6" s="15" t="s">
        <v>299</v>
      </c>
      <c r="B6" s="15"/>
      <c r="C6" s="15"/>
      <c r="D6" s="15"/>
      <c r="E6" s="15"/>
      <c r="F6" s="15"/>
      <c r="G6" s="15"/>
      <c r="H6" s="15"/>
      <c r="I6" s="15"/>
      <c r="J6" s="15"/>
      <c r="K6" s="93"/>
    </row>
    <row r="7" spans="1:11" s="94" customFormat="1" ht="11.45" x14ac:dyDescent="0.25">
      <c r="A7" s="15" t="s">
        <v>300</v>
      </c>
      <c r="B7" s="15"/>
      <c r="C7" s="15"/>
      <c r="D7" s="15"/>
      <c r="E7" s="15"/>
      <c r="F7" s="15"/>
      <c r="G7" s="15"/>
      <c r="H7" s="15"/>
      <c r="I7" s="15"/>
      <c r="J7" s="15"/>
      <c r="K7" s="93"/>
    </row>
    <row r="8" spans="1:11" s="94" customFormat="1" ht="11.45" x14ac:dyDescent="0.25">
      <c r="A8" s="15" t="s">
        <v>352</v>
      </c>
      <c r="B8" s="15"/>
      <c r="C8" s="15"/>
      <c r="D8" s="15"/>
      <c r="E8" s="15"/>
      <c r="F8" s="15"/>
      <c r="G8" s="15"/>
      <c r="H8" s="15"/>
      <c r="I8" s="15"/>
      <c r="J8" s="15"/>
      <c r="K8" s="93"/>
    </row>
    <row r="9" spans="1:11" s="94" customFormat="1" ht="11.45" x14ac:dyDescent="0.25">
      <c r="A9" s="15" t="s">
        <v>186</v>
      </c>
      <c r="B9" s="15"/>
      <c r="C9" s="15"/>
      <c r="D9" s="15"/>
      <c r="E9" s="15"/>
      <c r="F9" s="15"/>
      <c r="G9" s="15"/>
      <c r="H9" s="15"/>
      <c r="I9" s="15"/>
      <c r="J9" s="15"/>
      <c r="K9" s="93"/>
    </row>
    <row r="10" spans="1:11" s="94" customFormat="1" ht="11.45" x14ac:dyDescent="0.25">
      <c r="A10" s="93" t="s">
        <v>187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</row>
    <row r="11" spans="1:11" s="94" customFormat="1" ht="11.45" x14ac:dyDescent="0.25">
      <c r="A11" s="93" t="s">
        <v>353</v>
      </c>
      <c r="B11" s="93"/>
      <c r="C11" s="93"/>
      <c r="D11" s="93"/>
      <c r="E11" s="93"/>
      <c r="F11" s="93"/>
      <c r="G11" s="93"/>
      <c r="H11" s="93"/>
      <c r="I11" s="93"/>
      <c r="J11" s="93"/>
      <c r="K11" s="93"/>
    </row>
    <row r="12" spans="1:11" s="94" customFormat="1" ht="13.5" x14ac:dyDescent="0.35">
      <c r="A12" s="93" t="s">
        <v>382</v>
      </c>
      <c r="B12" s="93"/>
      <c r="C12" s="93"/>
      <c r="D12" s="93"/>
      <c r="E12" s="93"/>
      <c r="F12" s="93"/>
      <c r="G12" s="93"/>
      <c r="H12" s="93"/>
      <c r="I12" s="93"/>
      <c r="J12" s="93"/>
      <c r="K12" s="93"/>
    </row>
    <row r="13" spans="1:11" s="94" customFormat="1" ht="11.45" x14ac:dyDescent="0.25">
      <c r="A13" s="93" t="s">
        <v>354</v>
      </c>
      <c r="B13" s="93"/>
      <c r="C13" s="93"/>
      <c r="D13" s="93"/>
      <c r="E13" s="93"/>
      <c r="F13" s="93"/>
      <c r="G13" s="93"/>
      <c r="H13" s="93"/>
      <c r="I13" s="93"/>
      <c r="J13" s="93"/>
      <c r="K13" s="93"/>
    </row>
    <row r="14" spans="1:11" s="94" customFormat="1" ht="11.45" x14ac:dyDescent="0.25">
      <c r="A14" s="93" t="s">
        <v>364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</row>
    <row r="15" spans="1:11" s="94" customFormat="1" ht="11.45" x14ac:dyDescent="0.25">
      <c r="A15" s="93"/>
      <c r="B15" s="93"/>
      <c r="C15" s="93"/>
      <c r="D15" s="93"/>
      <c r="E15" s="93"/>
      <c r="F15" s="93"/>
      <c r="G15" s="93"/>
      <c r="H15" s="93"/>
      <c r="I15" s="93"/>
      <c r="J15" s="93"/>
      <c r="K15" s="93"/>
    </row>
    <row r="16" spans="1:11" ht="14.45" x14ac:dyDescent="0.35">
      <c r="A16" s="15" t="s">
        <v>427</v>
      </c>
      <c r="B16" s="15"/>
      <c r="C16" s="15"/>
      <c r="D16" s="15"/>
      <c r="E16" s="15"/>
      <c r="F16" s="15"/>
      <c r="G16" s="15"/>
      <c r="H16" s="15"/>
      <c r="I16" s="15"/>
      <c r="J16" s="15"/>
      <c r="K16" s="16"/>
    </row>
    <row r="17" spans="1:11" ht="14.45" x14ac:dyDescent="0.35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6"/>
    </row>
    <row r="18" spans="1:11" ht="14.45" x14ac:dyDescent="0.35">
      <c r="A18" s="95" t="s">
        <v>149</v>
      </c>
      <c r="B18" s="96"/>
      <c r="C18" s="97"/>
      <c r="D18" s="98" t="s">
        <v>150</v>
      </c>
      <c r="E18" s="96"/>
      <c r="F18" s="96"/>
      <c r="G18" s="96"/>
      <c r="H18" s="96"/>
      <c r="I18" s="96"/>
      <c r="J18" s="97"/>
      <c r="K18" s="16"/>
    </row>
    <row r="19" spans="1:11" ht="14.45" x14ac:dyDescent="0.35">
      <c r="A19" s="170" t="s">
        <v>151</v>
      </c>
      <c r="B19" s="171"/>
      <c r="C19" s="172"/>
      <c r="D19" s="170" t="s">
        <v>152</v>
      </c>
      <c r="E19" s="171"/>
      <c r="F19" s="171"/>
      <c r="G19" s="171"/>
      <c r="H19" s="171"/>
      <c r="I19" s="171"/>
      <c r="J19" s="172"/>
      <c r="K19" s="16"/>
    </row>
    <row r="20" spans="1:11" ht="14.45" x14ac:dyDescent="0.35">
      <c r="A20" s="173" t="s">
        <v>159</v>
      </c>
      <c r="B20" s="174"/>
      <c r="C20" s="175"/>
      <c r="D20" s="173" t="s">
        <v>423</v>
      </c>
      <c r="E20" s="174"/>
      <c r="F20" s="174"/>
      <c r="G20" s="174"/>
      <c r="H20" s="174"/>
      <c r="I20" s="174"/>
      <c r="J20" s="175"/>
      <c r="K20" s="16"/>
    </row>
    <row r="21" spans="1:11" ht="14.45" x14ac:dyDescent="0.35">
      <c r="A21" s="173" t="s">
        <v>160</v>
      </c>
      <c r="B21" s="174"/>
      <c r="C21" s="175"/>
      <c r="D21" s="173" t="s">
        <v>424</v>
      </c>
      <c r="E21" s="174"/>
      <c r="F21" s="174"/>
      <c r="G21" s="174"/>
      <c r="H21" s="174"/>
      <c r="I21" s="174"/>
      <c r="J21" s="175"/>
      <c r="K21" s="16"/>
    </row>
    <row r="22" spans="1:11" ht="14.45" x14ac:dyDescent="0.35">
      <c r="A22" s="173" t="s">
        <v>161</v>
      </c>
      <c r="B22" s="174"/>
      <c r="C22" s="175"/>
      <c r="D22" s="173" t="s">
        <v>425</v>
      </c>
      <c r="E22" s="174"/>
      <c r="F22" s="174"/>
      <c r="G22" s="174"/>
      <c r="H22" s="174"/>
      <c r="I22" s="174"/>
      <c r="J22" s="175"/>
      <c r="K22" s="16"/>
    </row>
    <row r="23" spans="1:11" ht="14.45" x14ac:dyDescent="0.35">
      <c r="A23" s="173" t="s">
        <v>162</v>
      </c>
      <c r="B23" s="174"/>
      <c r="C23" s="175"/>
      <c r="D23" s="173" t="s">
        <v>426</v>
      </c>
      <c r="E23" s="174"/>
      <c r="F23" s="174"/>
      <c r="G23" s="174"/>
      <c r="H23" s="174"/>
      <c r="I23" s="174"/>
      <c r="J23" s="175"/>
      <c r="K23" s="16"/>
    </row>
    <row r="24" spans="1:11" ht="14.45" x14ac:dyDescent="0.35">
      <c r="A24" s="173" t="s">
        <v>163</v>
      </c>
      <c r="B24" s="174"/>
      <c r="C24" s="175"/>
      <c r="D24" s="173" t="s">
        <v>428</v>
      </c>
      <c r="E24" s="174"/>
      <c r="F24" s="174"/>
      <c r="G24" s="174"/>
      <c r="H24" s="174"/>
      <c r="I24" s="174"/>
      <c r="J24" s="175"/>
      <c r="K24" s="16"/>
    </row>
    <row r="25" spans="1:11" ht="14.45" x14ac:dyDescent="0.35">
      <c r="A25" s="173" t="s">
        <v>164</v>
      </c>
      <c r="B25" s="174"/>
      <c r="C25" s="175"/>
      <c r="D25" s="173" t="s">
        <v>429</v>
      </c>
      <c r="E25" s="174"/>
      <c r="F25" s="174"/>
      <c r="G25" s="174"/>
      <c r="H25" s="174"/>
      <c r="I25" s="174"/>
      <c r="J25" s="175"/>
      <c r="K25" s="16"/>
    </row>
    <row r="26" spans="1:11" ht="14.45" x14ac:dyDescent="0.35">
      <c r="A26" s="173" t="s">
        <v>165</v>
      </c>
      <c r="B26" s="174"/>
      <c r="C26" s="175"/>
      <c r="D26" s="173" t="s">
        <v>430</v>
      </c>
      <c r="E26" s="174"/>
      <c r="F26" s="174"/>
      <c r="G26" s="174"/>
      <c r="H26" s="174"/>
      <c r="I26" s="174"/>
      <c r="J26" s="175"/>
      <c r="K26" s="16"/>
    </row>
    <row r="27" spans="1:11" x14ac:dyDescent="0.25">
      <c r="A27" s="173" t="s">
        <v>166</v>
      </c>
      <c r="B27" s="174"/>
      <c r="C27" s="175"/>
      <c r="D27" s="173" t="s">
        <v>431</v>
      </c>
      <c r="E27" s="174"/>
      <c r="F27" s="174"/>
      <c r="G27" s="174"/>
      <c r="H27" s="174"/>
      <c r="I27" s="174"/>
      <c r="J27" s="175"/>
      <c r="K27" s="16"/>
    </row>
    <row r="28" spans="1:11" x14ac:dyDescent="0.25">
      <c r="A28" s="173" t="s">
        <v>167</v>
      </c>
      <c r="B28" s="174"/>
      <c r="C28" s="175"/>
      <c r="D28" s="173" t="s">
        <v>432</v>
      </c>
      <c r="E28" s="174"/>
      <c r="F28" s="174"/>
      <c r="G28" s="174"/>
      <c r="H28" s="174"/>
      <c r="I28" s="174"/>
      <c r="J28" s="175"/>
      <c r="K28" s="16"/>
    </row>
    <row r="29" spans="1:11" x14ac:dyDescent="0.25">
      <c r="A29" s="173" t="s">
        <v>168</v>
      </c>
      <c r="B29" s="174"/>
      <c r="C29" s="175"/>
      <c r="D29" s="173" t="s">
        <v>433</v>
      </c>
      <c r="E29" s="174"/>
      <c r="F29" s="174"/>
      <c r="G29" s="174"/>
      <c r="H29" s="174"/>
      <c r="I29" s="174"/>
      <c r="J29" s="175"/>
      <c r="K29" s="16"/>
    </row>
    <row r="30" spans="1:11" x14ac:dyDescent="0.25">
      <c r="A30" s="173" t="s">
        <v>169</v>
      </c>
      <c r="B30" s="174"/>
      <c r="C30" s="175"/>
      <c r="D30" s="173" t="s">
        <v>434</v>
      </c>
      <c r="E30" s="174"/>
      <c r="F30" s="174"/>
      <c r="G30" s="174"/>
      <c r="H30" s="174"/>
      <c r="I30" s="174"/>
      <c r="J30" s="175"/>
      <c r="K30" s="16"/>
    </row>
    <row r="31" spans="1:11" x14ac:dyDescent="0.25">
      <c r="A31" s="173" t="s">
        <v>170</v>
      </c>
      <c r="B31" s="174"/>
      <c r="C31" s="175"/>
      <c r="D31" s="173" t="s">
        <v>435</v>
      </c>
      <c r="E31" s="174"/>
      <c r="F31" s="174"/>
      <c r="G31" s="174"/>
      <c r="H31" s="174"/>
      <c r="I31" s="174"/>
      <c r="J31" s="175"/>
      <c r="K31" s="16"/>
    </row>
    <row r="32" spans="1:11" x14ac:dyDescent="0.25">
      <c r="A32" s="173" t="s">
        <v>171</v>
      </c>
      <c r="B32" s="174"/>
      <c r="C32" s="175"/>
      <c r="D32" s="173" t="s">
        <v>436</v>
      </c>
      <c r="E32" s="174"/>
      <c r="F32" s="174"/>
      <c r="G32" s="174"/>
      <c r="H32" s="174"/>
      <c r="I32" s="174"/>
      <c r="J32" s="175"/>
      <c r="K32" s="16"/>
    </row>
    <row r="33" spans="1:11" x14ac:dyDescent="0.25">
      <c r="A33" s="173" t="s">
        <v>172</v>
      </c>
      <c r="B33" s="174"/>
      <c r="C33" s="175"/>
      <c r="D33" s="173" t="s">
        <v>437</v>
      </c>
      <c r="E33" s="174"/>
      <c r="F33" s="174"/>
      <c r="G33" s="174"/>
      <c r="H33" s="174"/>
      <c r="I33" s="174"/>
      <c r="J33" s="175"/>
      <c r="K33" s="16"/>
    </row>
    <row r="34" spans="1:11" x14ac:dyDescent="0.25">
      <c r="A34" s="173" t="s">
        <v>173</v>
      </c>
      <c r="B34" s="174"/>
      <c r="C34" s="175"/>
      <c r="D34" s="173" t="s">
        <v>438</v>
      </c>
      <c r="E34" s="174"/>
      <c r="F34" s="174"/>
      <c r="G34" s="174"/>
      <c r="H34" s="174"/>
      <c r="I34" s="174"/>
      <c r="J34" s="175"/>
      <c r="K34" s="16"/>
    </row>
    <row r="35" spans="1:11" x14ac:dyDescent="0.25">
      <c r="A35" s="173" t="s">
        <v>174</v>
      </c>
      <c r="B35" s="174"/>
      <c r="C35" s="175"/>
      <c r="D35" s="173" t="s">
        <v>439</v>
      </c>
      <c r="E35" s="174"/>
      <c r="F35" s="174"/>
      <c r="G35" s="174"/>
      <c r="H35" s="174"/>
      <c r="I35" s="174"/>
      <c r="J35" s="175"/>
      <c r="K35" s="16"/>
    </row>
    <row r="36" spans="1:11" x14ac:dyDescent="0.25">
      <c r="A36" s="173" t="s">
        <v>175</v>
      </c>
      <c r="B36" s="174"/>
      <c r="C36" s="175"/>
      <c r="D36" s="173" t="s">
        <v>440</v>
      </c>
      <c r="E36" s="174"/>
      <c r="F36" s="174"/>
      <c r="G36" s="174"/>
      <c r="H36" s="174"/>
      <c r="I36" s="174"/>
      <c r="J36" s="175"/>
      <c r="K36" s="16"/>
    </row>
    <row r="37" spans="1:11" x14ac:dyDescent="0.25">
      <c r="A37" s="173" t="s">
        <v>176</v>
      </c>
      <c r="B37" s="174"/>
      <c r="C37" s="175"/>
      <c r="D37" s="173" t="s">
        <v>441</v>
      </c>
      <c r="E37" s="174"/>
      <c r="F37" s="174"/>
      <c r="G37" s="174"/>
      <c r="H37" s="174"/>
      <c r="I37" s="174"/>
      <c r="J37" s="175"/>
      <c r="K37" s="16"/>
    </row>
    <row r="38" spans="1:11" x14ac:dyDescent="0.25">
      <c r="A38" s="173" t="s">
        <v>177</v>
      </c>
      <c r="B38" s="174"/>
      <c r="C38" s="175"/>
      <c r="D38" s="173" t="s">
        <v>442</v>
      </c>
      <c r="E38" s="174"/>
      <c r="F38" s="174"/>
      <c r="G38" s="174"/>
      <c r="H38" s="174"/>
      <c r="I38" s="174"/>
      <c r="J38" s="175"/>
      <c r="K38" s="16"/>
    </row>
    <row r="39" spans="1:11" x14ac:dyDescent="0.25">
      <c r="A39" s="173" t="s">
        <v>178</v>
      </c>
      <c r="B39" s="174"/>
      <c r="C39" s="175"/>
      <c r="D39" s="173" t="s">
        <v>443</v>
      </c>
      <c r="E39" s="174"/>
      <c r="F39" s="174"/>
      <c r="G39" s="174"/>
      <c r="H39" s="174"/>
      <c r="I39" s="174"/>
      <c r="J39" s="175"/>
      <c r="K39" s="16"/>
    </row>
    <row r="40" spans="1:11" x14ac:dyDescent="0.25">
      <c r="A40" s="173" t="s">
        <v>179</v>
      </c>
      <c r="B40" s="174"/>
      <c r="C40" s="175"/>
      <c r="D40" s="173" t="s">
        <v>444</v>
      </c>
      <c r="E40" s="174"/>
      <c r="F40" s="174"/>
      <c r="G40" s="174"/>
      <c r="H40" s="174"/>
      <c r="I40" s="174"/>
      <c r="J40" s="175"/>
      <c r="K40" s="16"/>
    </row>
    <row r="41" spans="1:11" x14ac:dyDescent="0.25">
      <c r="A41" s="173" t="s">
        <v>180</v>
      </c>
      <c r="B41" s="174"/>
      <c r="C41" s="175"/>
      <c r="D41" s="173" t="s">
        <v>445</v>
      </c>
      <c r="E41" s="174"/>
      <c r="F41" s="174"/>
      <c r="G41" s="174"/>
      <c r="H41" s="174"/>
      <c r="I41" s="174"/>
      <c r="J41" s="175"/>
      <c r="K41" s="16"/>
    </row>
    <row r="42" spans="1:11" x14ac:dyDescent="0.25">
      <c r="A42" s="173" t="s">
        <v>181</v>
      </c>
      <c r="B42" s="174"/>
      <c r="C42" s="175"/>
      <c r="D42" s="173" t="s">
        <v>446</v>
      </c>
      <c r="E42" s="174"/>
      <c r="F42" s="174"/>
      <c r="G42" s="174"/>
      <c r="H42" s="174"/>
      <c r="I42" s="174"/>
      <c r="J42" s="175"/>
      <c r="K42" s="16"/>
    </row>
    <row r="43" spans="1:11" x14ac:dyDescent="0.25">
      <c r="A43" s="173" t="s">
        <v>182</v>
      </c>
      <c r="B43" s="174"/>
      <c r="C43" s="175"/>
      <c r="D43" s="173" t="s">
        <v>447</v>
      </c>
      <c r="E43" s="174"/>
      <c r="F43" s="174"/>
      <c r="G43" s="174"/>
      <c r="H43" s="174"/>
      <c r="I43" s="174"/>
      <c r="J43" s="175"/>
      <c r="K43" s="16"/>
    </row>
    <row r="44" spans="1:11" x14ac:dyDescent="0.25">
      <c r="A44" s="173" t="s">
        <v>183</v>
      </c>
      <c r="B44" s="174"/>
      <c r="C44" s="175"/>
      <c r="D44" s="173" t="s">
        <v>448</v>
      </c>
      <c r="E44" s="174"/>
      <c r="F44" s="174"/>
      <c r="G44" s="174"/>
      <c r="H44" s="174"/>
      <c r="I44" s="174"/>
      <c r="J44" s="175"/>
      <c r="K44" s="16"/>
    </row>
    <row r="45" spans="1:11" x14ac:dyDescent="0.25">
      <c r="A45" s="176" t="s">
        <v>184</v>
      </c>
      <c r="B45" s="177"/>
      <c r="C45" s="178"/>
      <c r="D45" s="176" t="s">
        <v>449</v>
      </c>
      <c r="E45" s="177"/>
      <c r="F45" s="177"/>
      <c r="G45" s="177"/>
      <c r="H45" s="177"/>
      <c r="I45" s="177"/>
      <c r="J45" s="178"/>
      <c r="K45" s="16"/>
    </row>
    <row r="46" spans="1:11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6"/>
    </row>
    <row r="47" spans="1:11" x14ac:dyDescent="0.25">
      <c r="A47" s="92" t="s">
        <v>153</v>
      </c>
      <c r="B47" s="15"/>
      <c r="C47" s="15"/>
      <c r="D47" s="15"/>
      <c r="E47" s="15"/>
      <c r="F47" s="15"/>
      <c r="G47" s="15"/>
      <c r="H47" s="15"/>
      <c r="I47" s="15"/>
      <c r="J47" s="15"/>
      <c r="K47" s="16"/>
    </row>
    <row r="48" spans="1:11" x14ac:dyDescent="0.25">
      <c r="A48" s="15" t="s">
        <v>301</v>
      </c>
      <c r="B48" s="15"/>
      <c r="C48" s="15"/>
      <c r="D48" s="15"/>
      <c r="E48" s="15"/>
      <c r="F48" s="15"/>
      <c r="G48" s="15"/>
      <c r="H48" s="15"/>
      <c r="I48" s="15"/>
      <c r="J48" s="15"/>
      <c r="K48" s="16"/>
    </row>
    <row r="49" spans="1:11" x14ac:dyDescent="0.25">
      <c r="A49" s="15" t="s">
        <v>302</v>
      </c>
      <c r="B49" s="15"/>
      <c r="C49" s="15"/>
      <c r="D49" s="15"/>
      <c r="E49" s="15"/>
      <c r="F49" s="15"/>
      <c r="G49" s="15"/>
      <c r="H49" s="15"/>
      <c r="I49" s="15"/>
      <c r="J49" s="15"/>
      <c r="K49" s="16"/>
    </row>
    <row r="50" spans="1:11" x14ac:dyDescent="0.25">
      <c r="A50" s="15" t="s">
        <v>355</v>
      </c>
      <c r="B50" s="15"/>
      <c r="C50" s="15"/>
      <c r="D50" s="15"/>
      <c r="E50" s="15"/>
      <c r="F50" s="15"/>
      <c r="G50" s="15"/>
      <c r="H50" s="15"/>
      <c r="I50" s="15"/>
      <c r="J50" s="15"/>
      <c r="K50" s="16"/>
    </row>
    <row r="51" spans="1:11" x14ac:dyDescent="0.25">
      <c r="A51" s="15" t="s">
        <v>188</v>
      </c>
      <c r="B51" s="15"/>
      <c r="C51" s="15"/>
      <c r="D51" s="15"/>
      <c r="E51" s="15"/>
      <c r="F51" s="15"/>
      <c r="G51" s="15"/>
      <c r="H51" s="15"/>
      <c r="I51" s="15"/>
      <c r="J51" s="15"/>
      <c r="K51" s="16"/>
    </row>
    <row r="52" spans="1:11" x14ac:dyDescent="0.25">
      <c r="A52" s="15" t="s">
        <v>303</v>
      </c>
      <c r="B52" s="15"/>
      <c r="C52" s="15"/>
      <c r="D52" s="15"/>
      <c r="E52" s="15"/>
      <c r="F52" s="15"/>
      <c r="G52" s="15"/>
      <c r="H52" s="15"/>
      <c r="I52" s="15"/>
      <c r="J52" s="15"/>
      <c r="K52" s="16"/>
    </row>
    <row r="53" spans="1:11" x14ac:dyDescent="0.25">
      <c r="A53" s="15" t="s">
        <v>304</v>
      </c>
      <c r="B53" s="15"/>
      <c r="C53" s="15"/>
      <c r="D53" s="15"/>
      <c r="E53" s="15"/>
      <c r="F53" s="15"/>
      <c r="G53" s="15"/>
      <c r="H53" s="15"/>
      <c r="I53" s="15"/>
      <c r="J53" s="15"/>
      <c r="K53" s="16"/>
    </row>
    <row r="54" spans="1:11" x14ac:dyDescent="0.25">
      <c r="A54" s="15" t="s">
        <v>305</v>
      </c>
      <c r="B54" s="15"/>
      <c r="C54" s="15"/>
      <c r="D54" s="15"/>
      <c r="E54" s="15"/>
      <c r="F54" s="15"/>
      <c r="G54" s="15"/>
      <c r="H54" s="15"/>
      <c r="I54" s="15"/>
      <c r="J54" s="15"/>
      <c r="K54" s="16"/>
    </row>
    <row r="55" spans="1:11" x14ac:dyDescent="0.25">
      <c r="A55" s="15" t="s">
        <v>356</v>
      </c>
      <c r="B55" s="15"/>
      <c r="C55" s="15"/>
      <c r="D55" s="15"/>
      <c r="E55" s="15"/>
      <c r="F55" s="15"/>
      <c r="G55" s="15"/>
      <c r="H55" s="15"/>
      <c r="I55" s="15"/>
      <c r="J55" s="15"/>
      <c r="K55" s="16"/>
    </row>
    <row r="56" spans="1:11" x14ac:dyDescent="0.25">
      <c r="A56" s="15" t="s">
        <v>189</v>
      </c>
      <c r="B56" s="15"/>
      <c r="C56" s="15"/>
      <c r="D56" s="15"/>
      <c r="E56" s="15"/>
      <c r="F56" s="15"/>
      <c r="G56" s="15"/>
      <c r="H56" s="15"/>
      <c r="I56" s="15"/>
      <c r="J56" s="15"/>
      <c r="K56" s="16"/>
    </row>
    <row r="57" spans="1:11" x14ac:dyDescent="0.25">
      <c r="A57" s="15" t="s">
        <v>190</v>
      </c>
      <c r="B57" s="15"/>
      <c r="C57" s="15"/>
      <c r="D57" s="15"/>
      <c r="E57" s="15"/>
      <c r="F57" s="15"/>
      <c r="G57" s="15"/>
      <c r="H57" s="15"/>
      <c r="I57" s="15"/>
      <c r="J57" s="15"/>
      <c r="K57" s="16"/>
    </row>
    <row r="58" spans="1:11" x14ac:dyDescent="0.25">
      <c r="A58" s="15" t="s">
        <v>191</v>
      </c>
      <c r="B58" s="15"/>
      <c r="C58" s="15"/>
      <c r="D58" s="15"/>
      <c r="E58" s="15"/>
      <c r="F58" s="15"/>
      <c r="G58" s="15"/>
      <c r="H58" s="15"/>
      <c r="I58" s="15"/>
      <c r="J58" s="15"/>
      <c r="K58" s="16"/>
    </row>
    <row r="59" spans="1:11" x14ac:dyDescent="0.25">
      <c r="A59" s="15" t="s">
        <v>193</v>
      </c>
      <c r="B59" s="15"/>
      <c r="C59" s="15"/>
      <c r="D59" s="15"/>
      <c r="E59" s="15"/>
      <c r="F59" s="15"/>
      <c r="G59" s="15"/>
      <c r="H59" s="15"/>
      <c r="I59" s="15"/>
      <c r="J59" s="15"/>
      <c r="K59" s="16"/>
    </row>
    <row r="60" spans="1:11" x14ac:dyDescent="0.25">
      <c r="A60" s="15" t="s">
        <v>192</v>
      </c>
      <c r="B60" s="15"/>
      <c r="C60" s="15"/>
      <c r="D60" s="15"/>
      <c r="E60" s="15"/>
      <c r="F60" s="15"/>
      <c r="G60" s="15"/>
      <c r="H60" s="15"/>
      <c r="I60" s="15"/>
      <c r="J60" s="15"/>
      <c r="K60" s="16"/>
    </row>
    <row r="61" spans="1:11" x14ac:dyDescent="0.25">
      <c r="A61" s="15" t="s">
        <v>306</v>
      </c>
      <c r="B61" s="15"/>
      <c r="C61" s="15"/>
      <c r="D61" s="15"/>
      <c r="E61" s="15"/>
      <c r="F61" s="15"/>
      <c r="G61" s="15"/>
      <c r="H61" s="15"/>
      <c r="I61" s="15"/>
      <c r="J61" s="15"/>
      <c r="K61" s="16"/>
    </row>
    <row r="62" spans="1:11" x14ac:dyDescent="0.25">
      <c r="A62" s="15" t="s">
        <v>194</v>
      </c>
      <c r="B62" s="15"/>
      <c r="C62" s="15"/>
      <c r="D62" s="15"/>
      <c r="E62" s="15"/>
      <c r="F62" s="15"/>
      <c r="G62" s="15"/>
      <c r="H62" s="15"/>
      <c r="I62" s="15"/>
      <c r="J62" s="15"/>
      <c r="K62" s="16"/>
    </row>
    <row r="63" spans="1:11" x14ac:dyDescent="0.25">
      <c r="A63" s="15" t="s">
        <v>195</v>
      </c>
      <c r="B63" s="15"/>
      <c r="C63" s="15"/>
      <c r="D63" s="15"/>
      <c r="E63" s="15"/>
      <c r="F63" s="15"/>
      <c r="G63" s="15"/>
      <c r="H63" s="15"/>
      <c r="I63" s="15"/>
      <c r="J63" s="15"/>
      <c r="K63" s="16"/>
    </row>
    <row r="64" spans="1:11" x14ac:dyDescent="0.25">
      <c r="A64" s="15" t="s">
        <v>196</v>
      </c>
      <c r="B64" s="15"/>
      <c r="C64" s="15"/>
      <c r="D64" s="15"/>
      <c r="E64" s="15"/>
      <c r="F64" s="15"/>
      <c r="G64" s="15"/>
      <c r="H64" s="15"/>
      <c r="I64" s="15"/>
      <c r="J64" s="15"/>
      <c r="K64" s="16"/>
    </row>
    <row r="65" spans="1:11" x14ac:dyDescent="0.25">
      <c r="A65" s="15" t="s">
        <v>307</v>
      </c>
      <c r="B65" s="15"/>
      <c r="C65" s="15"/>
      <c r="D65" s="15"/>
      <c r="E65" s="15"/>
      <c r="F65" s="15"/>
      <c r="G65" s="15"/>
      <c r="H65" s="15"/>
      <c r="I65" s="15"/>
      <c r="J65" s="15"/>
      <c r="K65" s="16"/>
    </row>
    <row r="66" spans="1:11" x14ac:dyDescent="0.25">
      <c r="A66" s="15" t="s">
        <v>197</v>
      </c>
      <c r="B66" s="15"/>
      <c r="C66" s="15"/>
      <c r="D66" s="15"/>
      <c r="E66" s="15"/>
      <c r="F66" s="15"/>
      <c r="G66" s="15"/>
      <c r="H66" s="15"/>
      <c r="I66" s="15"/>
      <c r="J66" s="15"/>
      <c r="K66" s="16"/>
    </row>
    <row r="67" spans="1:11" x14ac:dyDescent="0.25">
      <c r="A67" s="15" t="s">
        <v>357</v>
      </c>
      <c r="B67" s="15"/>
      <c r="C67" s="15"/>
      <c r="D67" s="15"/>
      <c r="E67" s="15"/>
      <c r="F67" s="15"/>
      <c r="G67" s="15"/>
      <c r="H67" s="15"/>
      <c r="I67" s="15"/>
      <c r="J67" s="15"/>
      <c r="K67" s="16"/>
    </row>
    <row r="68" spans="1:11" x14ac:dyDescent="0.25">
      <c r="A68" s="15" t="s">
        <v>308</v>
      </c>
      <c r="B68" s="15"/>
      <c r="C68" s="15"/>
      <c r="D68" s="15"/>
      <c r="E68" s="15"/>
      <c r="F68" s="15"/>
      <c r="G68" s="15"/>
      <c r="H68" s="15"/>
      <c r="I68" s="15"/>
      <c r="J68" s="15"/>
      <c r="K68" s="16"/>
    </row>
    <row r="69" spans="1:11" x14ac:dyDescent="0.25">
      <c r="A69" s="15" t="s">
        <v>383</v>
      </c>
      <c r="B69" s="15"/>
      <c r="C69" s="15"/>
      <c r="D69" s="15"/>
      <c r="E69" s="15"/>
      <c r="F69" s="15"/>
      <c r="G69" s="15"/>
      <c r="H69" s="15"/>
      <c r="I69" s="15"/>
      <c r="J69" s="15"/>
      <c r="K69" s="16"/>
    </row>
    <row r="70" spans="1:11" x14ac:dyDescent="0.25">
      <c r="A70" s="15" t="s">
        <v>198</v>
      </c>
      <c r="B70" s="15"/>
      <c r="C70" s="15"/>
      <c r="D70" s="15"/>
      <c r="E70" s="15"/>
      <c r="F70" s="15"/>
      <c r="G70" s="15"/>
      <c r="H70" s="15"/>
      <c r="I70" s="15"/>
      <c r="J70" s="15"/>
      <c r="K70" s="16"/>
    </row>
    <row r="71" spans="1:11" x14ac:dyDescent="0.25">
      <c r="A71" s="15" t="s">
        <v>199</v>
      </c>
      <c r="B71" s="15"/>
      <c r="C71" s="15"/>
      <c r="D71" s="15"/>
      <c r="E71" s="15"/>
      <c r="F71" s="15"/>
      <c r="G71" s="15"/>
      <c r="H71" s="15"/>
      <c r="I71" s="15"/>
      <c r="J71" s="15"/>
      <c r="K71" s="16"/>
    </row>
    <row r="72" spans="1:11" x14ac:dyDescent="0.25">
      <c r="A72" s="15" t="s">
        <v>309</v>
      </c>
      <c r="B72" s="15"/>
      <c r="C72" s="15"/>
      <c r="D72" s="15"/>
      <c r="E72" s="15"/>
      <c r="F72" s="15"/>
      <c r="G72" s="15"/>
      <c r="H72" s="15"/>
      <c r="I72" s="15"/>
      <c r="J72" s="15"/>
      <c r="K72" s="16"/>
    </row>
    <row r="73" spans="1:11" x14ac:dyDescent="0.25">
      <c r="A73" s="15" t="s">
        <v>154</v>
      </c>
      <c r="B73" s="15"/>
      <c r="C73" s="15"/>
      <c r="D73" s="15"/>
      <c r="E73" s="15"/>
      <c r="F73" s="15"/>
      <c r="G73" s="15"/>
      <c r="H73" s="15"/>
      <c r="I73" s="15"/>
      <c r="J73" s="15"/>
      <c r="K73" s="16"/>
    </row>
    <row r="74" spans="1:11" x14ac:dyDescent="0.25">
      <c r="A74" s="15" t="s">
        <v>155</v>
      </c>
      <c r="B74" s="15"/>
      <c r="C74" s="15"/>
      <c r="D74" s="15"/>
      <c r="E74" s="15"/>
      <c r="F74" s="15"/>
      <c r="G74" s="15"/>
      <c r="H74" s="15"/>
      <c r="I74" s="15"/>
      <c r="J74" s="15"/>
      <c r="K74" s="16"/>
    </row>
    <row r="75" spans="1:11" x14ac:dyDescent="0.25">
      <c r="A75" s="15" t="s">
        <v>156</v>
      </c>
      <c r="B75" s="15"/>
      <c r="C75" s="15"/>
      <c r="D75" s="15"/>
      <c r="E75" s="15"/>
      <c r="F75" s="15"/>
      <c r="G75" s="15"/>
      <c r="H75" s="15"/>
      <c r="I75" s="15"/>
      <c r="J75" s="15"/>
      <c r="K75" s="16"/>
    </row>
    <row r="76" spans="1:11" x14ac:dyDescent="0.25">
      <c r="A76" s="15" t="s">
        <v>157</v>
      </c>
      <c r="B76" s="15"/>
      <c r="C76" s="15"/>
      <c r="D76" s="15"/>
      <c r="E76" s="15"/>
      <c r="F76" s="15"/>
      <c r="G76" s="15"/>
      <c r="H76" s="15"/>
      <c r="I76" s="15"/>
      <c r="J76" s="15"/>
      <c r="K76" s="16"/>
    </row>
    <row r="77" spans="1:11" x14ac:dyDescent="0.25">
      <c r="A77" s="15" t="s">
        <v>311</v>
      </c>
      <c r="B77" s="15"/>
      <c r="C77" s="15"/>
      <c r="D77" s="15"/>
      <c r="E77" s="15"/>
      <c r="F77" s="15"/>
      <c r="G77" s="15"/>
      <c r="H77" s="15"/>
      <c r="I77" s="15"/>
      <c r="J77" s="15"/>
      <c r="K77" s="16"/>
    </row>
    <row r="78" spans="1:11" x14ac:dyDescent="0.25">
      <c r="A78" s="15" t="s">
        <v>310</v>
      </c>
      <c r="B78" s="15"/>
      <c r="C78" s="15"/>
      <c r="D78" s="15"/>
      <c r="E78" s="15"/>
      <c r="F78" s="15"/>
      <c r="G78" s="15"/>
      <c r="H78" s="15"/>
      <c r="I78" s="15"/>
      <c r="J78" s="15"/>
      <c r="K78" s="16"/>
    </row>
    <row r="79" spans="1:11" x14ac:dyDescent="0.25">
      <c r="A79" s="179"/>
      <c r="B79" s="15"/>
      <c r="C79" s="15"/>
      <c r="D79" s="15"/>
      <c r="E79" s="15"/>
      <c r="F79" s="15"/>
      <c r="G79" s="15"/>
      <c r="H79" s="15"/>
      <c r="I79" s="15"/>
      <c r="J79" s="15"/>
      <c r="K79" s="16"/>
    </row>
    <row r="80" spans="1:11" x14ac:dyDescent="0.25">
      <c r="A80" s="180" t="s">
        <v>312</v>
      </c>
      <c r="B80" s="15"/>
      <c r="C80" s="15"/>
      <c r="D80" s="15"/>
      <c r="E80" s="15"/>
      <c r="F80" s="15"/>
      <c r="G80" s="15"/>
      <c r="H80" s="15"/>
      <c r="I80" s="15"/>
      <c r="J80" s="15"/>
      <c r="K80" s="16"/>
    </row>
    <row r="81" spans="1:11" x14ac:dyDescent="0.25">
      <c r="A81" s="134" t="s">
        <v>314</v>
      </c>
      <c r="B81" s="15"/>
      <c r="C81" s="15"/>
      <c r="D81" s="15"/>
      <c r="E81" s="15"/>
      <c r="F81" s="15"/>
      <c r="G81" s="15"/>
      <c r="H81" s="15"/>
      <c r="I81" s="15"/>
      <c r="J81" s="15"/>
      <c r="K81" s="16"/>
    </row>
    <row r="82" spans="1:11" x14ac:dyDescent="0.25">
      <c r="A82" s="134" t="s">
        <v>318</v>
      </c>
      <c r="B82" s="15"/>
      <c r="C82" s="15"/>
      <c r="D82" s="15"/>
      <c r="E82" s="15"/>
      <c r="F82" s="15"/>
      <c r="G82" s="15"/>
      <c r="H82" s="15"/>
      <c r="I82" s="15"/>
      <c r="J82" s="15"/>
      <c r="K82" s="16"/>
    </row>
    <row r="83" spans="1:11" x14ac:dyDescent="0.25">
      <c r="A83" s="134" t="s">
        <v>319</v>
      </c>
      <c r="B83" s="15"/>
      <c r="C83" s="15"/>
      <c r="D83" s="15"/>
      <c r="E83" s="15"/>
      <c r="F83" s="15"/>
      <c r="G83" s="15"/>
      <c r="H83" s="15"/>
      <c r="I83" s="15"/>
      <c r="J83" s="15"/>
      <c r="K83" s="16"/>
    </row>
    <row r="84" spans="1:11" ht="18" x14ac:dyDescent="0.35">
      <c r="A84" s="134" t="s">
        <v>358</v>
      </c>
      <c r="B84" s="15"/>
      <c r="C84" s="15"/>
      <c r="D84" s="15"/>
      <c r="E84" s="15"/>
      <c r="F84" s="15"/>
      <c r="G84" s="15"/>
      <c r="H84" s="15"/>
      <c r="I84" s="15"/>
      <c r="J84" s="15"/>
      <c r="K84" s="16"/>
    </row>
    <row r="85" spans="1:11" ht="18" x14ac:dyDescent="0.35">
      <c r="A85" s="134" t="s">
        <v>359</v>
      </c>
      <c r="B85" s="15"/>
      <c r="C85" s="15"/>
      <c r="D85" s="15"/>
      <c r="E85" s="15"/>
      <c r="F85" s="15"/>
      <c r="G85" s="15"/>
      <c r="H85" s="15"/>
      <c r="I85" s="15"/>
      <c r="J85" s="15"/>
      <c r="K85" s="16"/>
    </row>
    <row r="86" spans="1:11" x14ac:dyDescent="0.25">
      <c r="A86" s="134" t="s">
        <v>320</v>
      </c>
      <c r="B86" s="15"/>
      <c r="C86" s="15"/>
      <c r="D86" s="15"/>
      <c r="E86" s="15"/>
      <c r="F86" s="15"/>
      <c r="G86" s="15"/>
      <c r="H86" s="15"/>
      <c r="I86" s="15"/>
      <c r="J86" s="15"/>
      <c r="K86" s="16"/>
    </row>
    <row r="87" spans="1:11" x14ac:dyDescent="0.25">
      <c r="A87" s="134" t="s">
        <v>360</v>
      </c>
      <c r="B87" s="15"/>
      <c r="C87" s="15"/>
      <c r="D87" s="15"/>
      <c r="E87" s="15"/>
      <c r="F87" s="15"/>
      <c r="G87" s="15"/>
      <c r="H87" s="15"/>
      <c r="I87" s="15"/>
      <c r="J87" s="15"/>
      <c r="K87" s="16"/>
    </row>
    <row r="88" spans="1:11" x14ac:dyDescent="0.25">
      <c r="A88" s="134" t="s">
        <v>315</v>
      </c>
      <c r="B88" s="15"/>
      <c r="C88" s="15"/>
      <c r="D88" s="15"/>
      <c r="E88" s="15"/>
      <c r="F88" s="15"/>
      <c r="G88" s="15"/>
      <c r="H88" s="15"/>
      <c r="I88" s="15"/>
      <c r="J88" s="15"/>
      <c r="K88" s="16"/>
    </row>
    <row r="89" spans="1:11" x14ac:dyDescent="0.25">
      <c r="A89" s="134" t="s">
        <v>313</v>
      </c>
      <c r="B89" s="15"/>
      <c r="C89" s="15"/>
      <c r="D89" s="15"/>
      <c r="E89" s="15"/>
      <c r="F89" s="15"/>
      <c r="G89" s="15"/>
      <c r="H89" s="15"/>
      <c r="I89" s="15"/>
      <c r="J89" s="15"/>
      <c r="K89" s="16"/>
    </row>
    <row r="90" spans="1:11" x14ac:dyDescent="0.25">
      <c r="A90" s="134" t="s">
        <v>361</v>
      </c>
      <c r="B90" s="15"/>
      <c r="C90" s="15"/>
      <c r="D90" s="15"/>
      <c r="E90" s="15"/>
      <c r="F90" s="15"/>
      <c r="G90" s="15"/>
      <c r="H90" s="15"/>
      <c r="I90" s="15"/>
      <c r="J90" s="15"/>
      <c r="K90" s="16"/>
    </row>
    <row r="91" spans="1:11" x14ac:dyDescent="0.25">
      <c r="A91" s="134" t="s">
        <v>316</v>
      </c>
      <c r="B91" s="15"/>
      <c r="C91" s="15"/>
      <c r="D91" s="15"/>
      <c r="E91" s="15"/>
      <c r="F91" s="15"/>
      <c r="G91" s="15"/>
      <c r="H91" s="15"/>
      <c r="I91" s="15"/>
      <c r="J91" s="15"/>
      <c r="K91" s="16"/>
    </row>
    <row r="92" spans="1:11" x14ac:dyDescent="0.25">
      <c r="A92" s="134" t="s">
        <v>317</v>
      </c>
      <c r="B92" s="15"/>
      <c r="C92" s="15"/>
      <c r="D92" s="15"/>
      <c r="E92" s="15"/>
      <c r="F92" s="15"/>
      <c r="G92" s="15"/>
      <c r="H92" s="15"/>
      <c r="I92" s="15"/>
      <c r="J92" s="15"/>
      <c r="K92" s="16"/>
    </row>
    <row r="93" spans="1:11" x14ac:dyDescent="0.25">
      <c r="A93" s="133" t="s">
        <v>332</v>
      </c>
      <c r="B93" s="15"/>
      <c r="C93" s="15"/>
      <c r="D93" s="15"/>
      <c r="E93" s="15"/>
      <c r="F93" s="15"/>
      <c r="G93" s="15"/>
      <c r="H93" s="15"/>
      <c r="I93" s="15"/>
      <c r="J93" s="15"/>
      <c r="K93" s="16"/>
    </row>
    <row r="94" spans="1:11" x14ac:dyDescent="0.25">
      <c r="A94" s="134" t="s">
        <v>333</v>
      </c>
      <c r="B94" s="15"/>
      <c r="C94" s="15"/>
      <c r="D94" s="15"/>
      <c r="E94" s="15"/>
      <c r="F94" s="15"/>
      <c r="G94" s="15"/>
      <c r="H94" s="15"/>
      <c r="I94" s="15"/>
      <c r="J94" s="15"/>
      <c r="K94" s="16"/>
    </row>
    <row r="95" spans="1:11" ht="18" x14ac:dyDescent="0.35">
      <c r="A95" s="134" t="s">
        <v>321</v>
      </c>
      <c r="B95" s="15"/>
      <c r="C95" s="15"/>
      <c r="D95" s="15"/>
      <c r="E95" s="15"/>
      <c r="F95" s="15"/>
      <c r="G95" s="15"/>
      <c r="H95" s="15"/>
      <c r="I95" s="15"/>
      <c r="J95" s="15"/>
      <c r="K95" s="16"/>
    </row>
    <row r="96" spans="1:11" x14ac:dyDescent="0.25">
      <c r="A96" s="134" t="s">
        <v>362</v>
      </c>
      <c r="B96" s="15"/>
      <c r="C96" s="15"/>
      <c r="D96" s="15"/>
      <c r="E96" s="15"/>
      <c r="F96" s="15"/>
      <c r="G96" s="15"/>
      <c r="H96" s="15"/>
      <c r="I96" s="15"/>
      <c r="J96" s="15"/>
      <c r="K96" s="16"/>
    </row>
    <row r="97" spans="1:11" x14ac:dyDescent="0.25">
      <c r="A97" s="134" t="s">
        <v>330</v>
      </c>
      <c r="B97" s="15"/>
      <c r="C97" s="15"/>
      <c r="D97" s="15"/>
      <c r="E97" s="15"/>
      <c r="F97" s="15"/>
      <c r="G97" s="15"/>
      <c r="H97" s="15"/>
      <c r="I97" s="15"/>
      <c r="J97" s="15"/>
      <c r="K97" s="16"/>
    </row>
    <row r="98" spans="1:11" x14ac:dyDescent="0.25">
      <c r="A98" s="134" t="s">
        <v>329</v>
      </c>
      <c r="B98" s="15"/>
      <c r="C98" s="15"/>
      <c r="D98" s="15"/>
      <c r="E98" s="15"/>
      <c r="F98" s="15"/>
      <c r="G98" s="15"/>
      <c r="H98" s="15"/>
      <c r="I98" s="15"/>
      <c r="J98" s="15"/>
      <c r="K98" s="16"/>
    </row>
    <row r="99" spans="1:11" ht="18" x14ac:dyDescent="0.35">
      <c r="A99" s="134" t="s">
        <v>322</v>
      </c>
      <c r="B99" s="15"/>
      <c r="C99" s="15"/>
      <c r="D99" s="15"/>
      <c r="E99" s="15"/>
      <c r="F99" s="15"/>
      <c r="G99" s="15"/>
      <c r="H99" s="15"/>
      <c r="I99" s="15"/>
      <c r="J99" s="15"/>
      <c r="K99" s="16"/>
    </row>
    <row r="100" spans="1:11" x14ac:dyDescent="0.25">
      <c r="A100" s="134" t="s">
        <v>334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6"/>
    </row>
    <row r="101" spans="1:11" x14ac:dyDescent="0.25">
      <c r="A101" s="134" t="s">
        <v>323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6"/>
    </row>
    <row r="102" spans="1:11" x14ac:dyDescent="0.25">
      <c r="A102" s="134" t="s">
        <v>324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6"/>
    </row>
    <row r="103" spans="1:11" x14ac:dyDescent="0.25">
      <c r="A103" s="134" t="s">
        <v>325</v>
      </c>
      <c r="D103" s="15"/>
      <c r="E103" s="15"/>
      <c r="F103" s="15"/>
      <c r="G103" s="15"/>
      <c r="H103" s="15"/>
      <c r="I103" s="15"/>
      <c r="J103" s="15"/>
      <c r="K103" s="16"/>
    </row>
    <row r="104" spans="1:11" x14ac:dyDescent="0.25">
      <c r="A104" s="134" t="s">
        <v>326</v>
      </c>
    </row>
    <row r="105" spans="1:11" ht="18" x14ac:dyDescent="0.35">
      <c r="A105" s="134" t="s">
        <v>327</v>
      </c>
    </row>
    <row r="106" spans="1:11" ht="18" x14ac:dyDescent="0.35">
      <c r="A106" s="134" t="s">
        <v>328</v>
      </c>
    </row>
    <row r="107" spans="1:11" ht="18" x14ac:dyDescent="0.35">
      <c r="A107" s="134" t="s">
        <v>331</v>
      </c>
    </row>
    <row r="108" spans="1:11" x14ac:dyDescent="0.25">
      <c r="A108" s="134" t="s">
        <v>336</v>
      </c>
    </row>
    <row r="109" spans="1:11" x14ac:dyDescent="0.25">
      <c r="A109" s="134" t="s">
        <v>335</v>
      </c>
    </row>
    <row r="110" spans="1:11" x14ac:dyDescent="0.25">
      <c r="A110" s="134"/>
    </row>
    <row r="111" spans="1:11" x14ac:dyDescent="0.25">
      <c r="A111" s="180" t="s">
        <v>363</v>
      </c>
    </row>
    <row r="112" spans="1:11" x14ac:dyDescent="0.25">
      <c r="A112" s="134" t="s">
        <v>365</v>
      </c>
    </row>
    <row r="113" spans="1:1" x14ac:dyDescent="0.25">
      <c r="A113" s="134" t="s">
        <v>373</v>
      </c>
    </row>
    <row r="114" spans="1:1" x14ac:dyDescent="0.25">
      <c r="A114" s="134" t="s">
        <v>372</v>
      </c>
    </row>
    <row r="115" spans="1:1" x14ac:dyDescent="0.25">
      <c r="A115" s="134" t="s">
        <v>374</v>
      </c>
    </row>
    <row r="116" spans="1:1" x14ac:dyDescent="0.25">
      <c r="A116" s="134" t="s">
        <v>366</v>
      </c>
    </row>
    <row r="117" spans="1:1" x14ac:dyDescent="0.25">
      <c r="A117" s="134" t="s">
        <v>367</v>
      </c>
    </row>
    <row r="118" spans="1:1" x14ac:dyDescent="0.25">
      <c r="A118" s="134" t="s">
        <v>368</v>
      </c>
    </row>
    <row r="119" spans="1:1" x14ac:dyDescent="0.25">
      <c r="A119" s="134" t="s">
        <v>369</v>
      </c>
    </row>
    <row r="120" spans="1:1" x14ac:dyDescent="0.25">
      <c r="A120" s="134" t="s">
        <v>370</v>
      </c>
    </row>
    <row r="121" spans="1:1" x14ac:dyDescent="0.25">
      <c r="A121" s="134" t="s">
        <v>375</v>
      </c>
    </row>
    <row r="122" spans="1:1" x14ac:dyDescent="0.25">
      <c r="A122" s="134" t="s">
        <v>371</v>
      </c>
    </row>
    <row r="123" spans="1:1" x14ac:dyDescent="0.25">
      <c r="A123" s="134" t="s">
        <v>376</v>
      </c>
    </row>
    <row r="124" spans="1:1" x14ac:dyDescent="0.25">
      <c r="A124" s="134" t="s">
        <v>377</v>
      </c>
    </row>
    <row r="125" spans="1:1" ht="18.75" x14ac:dyDescent="0.35">
      <c r="A125" s="134" t="s">
        <v>379</v>
      </c>
    </row>
    <row r="126" spans="1:1" x14ac:dyDescent="0.25">
      <c r="A126" s="134" t="s">
        <v>380</v>
      </c>
    </row>
    <row r="127" spans="1:1" ht="18.75" x14ac:dyDescent="0.35">
      <c r="A127" s="134" t="s">
        <v>378</v>
      </c>
    </row>
    <row r="128" spans="1:1" x14ac:dyDescent="0.25">
      <c r="A128" s="134"/>
    </row>
    <row r="129" spans="1:1" x14ac:dyDescent="0.25">
      <c r="A129" s="134"/>
    </row>
    <row r="130" spans="1:1" x14ac:dyDescent="0.25">
      <c r="A130" s="134"/>
    </row>
    <row r="131" spans="1:1" x14ac:dyDescent="0.25">
      <c r="A131" s="134"/>
    </row>
    <row r="132" spans="1:1" x14ac:dyDescent="0.25">
      <c r="A132" s="134"/>
    </row>
    <row r="133" spans="1:1" x14ac:dyDescent="0.25">
      <c r="A133" s="134"/>
    </row>
    <row r="134" spans="1:1" x14ac:dyDescent="0.25">
      <c r="A134" s="134"/>
    </row>
    <row r="135" spans="1:1" x14ac:dyDescent="0.25">
      <c r="A135" s="134"/>
    </row>
    <row r="136" spans="1:1" x14ac:dyDescent="0.25">
      <c r="A136" s="134"/>
    </row>
    <row r="137" spans="1:1" x14ac:dyDescent="0.25">
      <c r="A137" s="134"/>
    </row>
    <row r="138" spans="1:1" x14ac:dyDescent="0.25">
      <c r="A138" s="134"/>
    </row>
    <row r="139" spans="1:1" x14ac:dyDescent="0.25">
      <c r="A139" s="134"/>
    </row>
    <row r="140" spans="1:1" x14ac:dyDescent="0.25">
      <c r="A140" s="134"/>
    </row>
    <row r="141" spans="1:1" x14ac:dyDescent="0.25">
      <c r="A141" s="134"/>
    </row>
    <row r="142" spans="1:1" x14ac:dyDescent="0.25">
      <c r="A142" s="134"/>
    </row>
    <row r="143" spans="1:1" x14ac:dyDescent="0.25">
      <c r="A143" s="134"/>
    </row>
    <row r="144" spans="1:1" x14ac:dyDescent="0.25">
      <c r="A144" s="134"/>
    </row>
    <row r="145" spans="1:1" x14ac:dyDescent="0.25">
      <c r="A145" s="134"/>
    </row>
    <row r="146" spans="1:1" x14ac:dyDescent="0.25">
      <c r="A146" s="134"/>
    </row>
    <row r="147" spans="1:1" x14ac:dyDescent="0.25">
      <c r="A147" s="134"/>
    </row>
    <row r="148" spans="1:1" x14ac:dyDescent="0.25">
      <c r="A148" s="134"/>
    </row>
    <row r="149" spans="1:1" x14ac:dyDescent="0.25">
      <c r="A149" s="134"/>
    </row>
    <row r="150" spans="1:1" x14ac:dyDescent="0.25">
      <c r="A150" s="134"/>
    </row>
    <row r="151" spans="1:1" x14ac:dyDescent="0.25">
      <c r="A151" s="134"/>
    </row>
    <row r="152" spans="1:1" x14ac:dyDescent="0.25">
      <c r="A152" s="134"/>
    </row>
    <row r="153" spans="1:1" x14ac:dyDescent="0.25">
      <c r="A153" s="134"/>
    </row>
    <row r="154" spans="1:1" x14ac:dyDescent="0.25">
      <c r="A154" s="134"/>
    </row>
    <row r="155" spans="1:1" x14ac:dyDescent="0.25">
      <c r="A155" s="134"/>
    </row>
    <row r="156" spans="1:1" x14ac:dyDescent="0.25">
      <c r="A156" s="134"/>
    </row>
    <row r="157" spans="1:1" x14ac:dyDescent="0.25">
      <c r="A157" s="134"/>
    </row>
    <row r="158" spans="1:1" x14ac:dyDescent="0.25">
      <c r="A158" s="134"/>
    </row>
    <row r="159" spans="1:1" x14ac:dyDescent="0.25">
      <c r="A159" s="134"/>
    </row>
    <row r="160" spans="1:1" x14ac:dyDescent="0.25">
      <c r="A160" s="134"/>
    </row>
    <row r="161" spans="1:1" x14ac:dyDescent="0.25">
      <c r="A161" s="134"/>
    </row>
    <row r="162" spans="1:1" x14ac:dyDescent="0.25">
      <c r="A162" s="134"/>
    </row>
    <row r="163" spans="1:1" x14ac:dyDescent="0.25">
      <c r="A163" s="134"/>
    </row>
    <row r="164" spans="1:1" x14ac:dyDescent="0.25">
      <c r="A164" s="134"/>
    </row>
    <row r="165" spans="1:1" x14ac:dyDescent="0.25">
      <c r="A165" s="134"/>
    </row>
  </sheetData>
  <pageMargins left="1" right="0.5" top="0.75" bottom="0.75" header="0.3" footer="0.3"/>
  <pageSetup scale="83" orientation="portrait" r:id="rId1"/>
  <rowBreaks count="2" manualBreakCount="2">
    <brk id="55" max="16383" man="1"/>
    <brk id="11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234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24.899797500000005</v>
      </c>
    </row>
    <row r="20" spans="1:17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24.899797500000005</v>
      </c>
    </row>
    <row r="21" spans="1:17" ht="18" x14ac:dyDescent="0.35">
      <c r="A21" s="34"/>
      <c r="B21" s="36" t="s">
        <v>397</v>
      </c>
      <c r="C21" s="84">
        <v>81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1.6930000000000001</v>
      </c>
      <c r="M21" s="16" t="s">
        <v>20</v>
      </c>
      <c r="N21" s="16" t="s">
        <v>36</v>
      </c>
      <c r="P21" s="16">
        <f>+IF(C25&lt;9,(C25/8),IF(C25=9,1.128,IF(C25=10,1.27,IF(C25=11,1.41,IF(C25=14,1.693,0)))))</f>
        <v>1.6930000000000001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2*C19/12+3*C18</f>
        <v>20.5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2.2510803083750002</v>
      </c>
      <c r="M22" s="16" t="s">
        <v>34</v>
      </c>
      <c r="N22" s="16" t="s">
        <v>37</v>
      </c>
      <c r="P22" s="16">
        <f>3.1415*P21^2/4</f>
        <v>2.2510803083750002</v>
      </c>
      <c r="Q22" s="16" t="s">
        <v>34</v>
      </c>
    </row>
    <row r="23" spans="1:17" x14ac:dyDescent="0.25">
      <c r="A23" s="34"/>
      <c r="B23" s="36" t="s">
        <v>399</v>
      </c>
      <c r="C23" s="122">
        <f>2*C19/12+C18*2*0.8661</f>
        <v>12.8932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14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14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69.460499999999996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71.153499999999994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71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122</v>
      </c>
      <c r="B31" s="37"/>
      <c r="C31" s="37"/>
      <c r="D31" s="37"/>
      <c r="E31" s="37"/>
      <c r="F31" s="49" t="str">
        <f>+IF(C64&gt;C62,"NG; select smaller bar size","OK")</f>
        <v>NG; select smaller bar size</v>
      </c>
      <c r="G31" s="37"/>
      <c r="H31" s="37"/>
      <c r="I31" s="38"/>
      <c r="J31" s="50" t="s">
        <v>84</v>
      </c>
    </row>
    <row r="32" spans="1:17" x14ac:dyDescent="0.25">
      <c r="A32" s="34" t="s">
        <v>203</v>
      </c>
      <c r="B32" s="37"/>
      <c r="C32" s="37"/>
      <c r="D32" s="37"/>
      <c r="E32" s="37"/>
      <c r="F32" s="49" t="str">
        <f>+IF(C81&gt;C82,"NG; select smaller bar size","OK")</f>
        <v>OK</v>
      </c>
      <c r="G32" s="37"/>
      <c r="H32" s="37"/>
      <c r="I32" s="38"/>
      <c r="J32" s="16" t="s">
        <v>1</v>
      </c>
      <c r="M32" s="16">
        <f>+C28</f>
        <v>71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35.5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91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20297.231500000002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applicable",IF(G140&lt;1,"OK","NG"))</f>
        <v>OK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2.7015252440338964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">
        <v>227</v>
      </c>
      <c r="I37" s="38"/>
      <c r="J37" s="16" t="s">
        <v>7</v>
      </c>
      <c r="K37" s="16">
        <f>+K36*M35/1000</f>
        <v>5134.8385388572751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3851.1289041429563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54.833483281249997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1.4238288212648866E-2</v>
      </c>
    </row>
    <row r="41" spans="1:25" ht="18" x14ac:dyDescent="0.35">
      <c r="A41" s="34"/>
      <c r="B41" s="59" t="s">
        <v>22</v>
      </c>
      <c r="C41" s="60">
        <f>C7*10*C14-C7*C22*C23*C21/12*0.15</f>
        <v>851.81682799999999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14.592950592666309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15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C7*C14*(3*(C18*12*0.866+C12-C43/4))-C7*(C23/2-C43/12/4)*C22*C21/12*0.15*(C23/2-C43/12/4)*12/2</f>
        <v>16157.575553279401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788.17441723314153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69.460499999999996</v>
      </c>
      <c r="D48" s="39" t="s">
        <v>0</v>
      </c>
      <c r="E48" s="37"/>
      <c r="F48" s="37"/>
      <c r="G48" s="37"/>
      <c r="H48" s="37"/>
      <c r="I48" s="38"/>
    </row>
    <row r="49" spans="1:9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0.23125052179683792</v>
      </c>
      <c r="D49" s="39" t="s">
        <v>406</v>
      </c>
      <c r="E49" s="37"/>
      <c r="F49" s="37"/>
      <c r="G49" s="37"/>
      <c r="H49" s="37"/>
      <c r="I49" s="38"/>
    </row>
    <row r="50" spans="1:9" ht="18" x14ac:dyDescent="0.35">
      <c r="A50" s="34"/>
      <c r="B50" s="36" t="s">
        <v>38</v>
      </c>
      <c r="C50" s="61">
        <f>+C49*C22</f>
        <v>4.7406356968351773</v>
      </c>
      <c r="D50" s="39" t="s">
        <v>407</v>
      </c>
      <c r="E50" s="37"/>
      <c r="F50" s="37"/>
      <c r="G50" s="37"/>
      <c r="H50" s="37"/>
      <c r="I50" s="38"/>
    </row>
    <row r="51" spans="1:9" ht="18" x14ac:dyDescent="0.35">
      <c r="A51" s="34"/>
      <c r="B51" s="36" t="s">
        <v>42</v>
      </c>
      <c r="C51" s="61">
        <f>+C50*4/3</f>
        <v>6.3208475957802364</v>
      </c>
      <c r="D51" s="39" t="s">
        <v>407</v>
      </c>
      <c r="E51" s="37"/>
      <c r="F51" s="37"/>
      <c r="G51" s="37"/>
      <c r="H51" s="37"/>
      <c r="I51" s="38"/>
    </row>
    <row r="52" spans="1:9" ht="18.75" x14ac:dyDescent="0.35">
      <c r="A52" s="34"/>
      <c r="B52" s="36" t="s">
        <v>420</v>
      </c>
      <c r="C52" s="61">
        <f>3*(C10*1000)^0.5*C22*12*C48/C11/1000</f>
        <v>54.034733303874923</v>
      </c>
      <c r="D52" s="39" t="s">
        <v>407</v>
      </c>
      <c r="E52" s="37"/>
      <c r="F52" s="37"/>
      <c r="G52" s="37"/>
      <c r="H52" s="37"/>
      <c r="I52" s="38"/>
    </row>
    <row r="53" spans="1:9" ht="18" x14ac:dyDescent="0.35">
      <c r="A53" s="34"/>
      <c r="B53" s="36" t="s">
        <v>421</v>
      </c>
      <c r="C53" s="61">
        <f>200*C22*12*C48/C11/1000</f>
        <v>56.957609999999995</v>
      </c>
      <c r="D53" s="39" t="s">
        <v>407</v>
      </c>
      <c r="E53" s="37"/>
      <c r="F53" s="37"/>
      <c r="G53" s="37"/>
      <c r="H53" s="37"/>
      <c r="I53" s="38"/>
    </row>
    <row r="54" spans="1:9" ht="18" x14ac:dyDescent="0.35">
      <c r="A54" s="34"/>
      <c r="B54" s="36" t="s">
        <v>43</v>
      </c>
      <c r="C54" s="61">
        <f>+MAX(C52:C53)</f>
        <v>56.957609999999995</v>
      </c>
      <c r="D54" s="39" t="s">
        <v>407</v>
      </c>
      <c r="E54" s="37"/>
      <c r="F54" s="37"/>
      <c r="G54" s="37"/>
      <c r="H54" s="37"/>
      <c r="I54" s="38"/>
    </row>
    <row r="55" spans="1:9" ht="18" x14ac:dyDescent="0.35">
      <c r="A55" s="34"/>
      <c r="B55" s="36" t="s">
        <v>408</v>
      </c>
      <c r="C55" s="61">
        <f>+IF(C11=60,0.0018*C22*12*C21,0.002*C22*12*C21)</f>
        <v>35.866800000000005</v>
      </c>
      <c r="D55" s="39" t="s">
        <v>407</v>
      </c>
      <c r="E55" s="37"/>
      <c r="F55" s="37"/>
      <c r="G55" s="37"/>
      <c r="H55" s="37"/>
      <c r="I55" s="38"/>
    </row>
    <row r="56" spans="1:9" ht="18" x14ac:dyDescent="0.35">
      <c r="A56" s="34"/>
      <c r="B56" s="36" t="s">
        <v>40</v>
      </c>
      <c r="C56" s="63">
        <f>+IF(C50&gt;C54,C50,IF(C51&gt;C54,C54,IF(C51&gt;C55,C51,C55)))</f>
        <v>35.866800000000005</v>
      </c>
      <c r="D56" s="39" t="s">
        <v>407</v>
      </c>
      <c r="E56" s="37"/>
      <c r="F56" s="37"/>
      <c r="G56" s="37"/>
      <c r="H56" s="37"/>
      <c r="I56" s="38"/>
    </row>
    <row r="57" spans="1:9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</row>
    <row r="58" spans="1:9" x14ac:dyDescent="0.25">
      <c r="A58" s="124"/>
      <c r="B58" s="65" t="s">
        <v>44</v>
      </c>
      <c r="C58" s="43">
        <f>+C22/C23</f>
        <v>1.5899854186703068</v>
      </c>
      <c r="D58" s="39"/>
      <c r="E58" s="37"/>
      <c r="F58" s="37"/>
      <c r="G58" s="37"/>
      <c r="H58" s="37"/>
      <c r="I58" s="38"/>
    </row>
    <row r="59" spans="1:9" ht="18" x14ac:dyDescent="0.35">
      <c r="A59" s="124"/>
      <c r="B59" s="65" t="s">
        <v>46</v>
      </c>
      <c r="C59" s="61">
        <f>2/(C58+1)</f>
        <v>0.77220511960518912</v>
      </c>
      <c r="D59" s="39"/>
      <c r="E59" s="37" t="s">
        <v>118</v>
      </c>
      <c r="F59" s="37"/>
      <c r="G59" s="37"/>
      <c r="H59" s="37"/>
      <c r="I59" s="38"/>
    </row>
    <row r="60" spans="1:9" ht="18.75" x14ac:dyDescent="0.35">
      <c r="A60" s="34"/>
      <c r="B60" s="36" t="s">
        <v>45</v>
      </c>
      <c r="C60" s="61">
        <f>+C50*C58*C59</f>
        <v>5.8205282383911179</v>
      </c>
      <c r="D60" s="39" t="s">
        <v>34</v>
      </c>
      <c r="E60" s="37"/>
      <c r="F60" s="37"/>
      <c r="G60" s="37"/>
      <c r="H60" s="37"/>
      <c r="I60" s="38"/>
    </row>
    <row r="61" spans="1:9" ht="18.75" x14ac:dyDescent="0.35">
      <c r="A61" s="34"/>
      <c r="B61" s="36" t="s">
        <v>40</v>
      </c>
      <c r="C61" s="61">
        <f>+MAX(C60,C56)</f>
        <v>35.866800000000005</v>
      </c>
      <c r="D61" s="39" t="s">
        <v>34</v>
      </c>
      <c r="E61" s="37"/>
      <c r="F61" s="37"/>
      <c r="G61" s="37"/>
      <c r="H61" s="37"/>
      <c r="I61" s="38"/>
    </row>
    <row r="62" spans="1:9" x14ac:dyDescent="0.25">
      <c r="A62" s="34"/>
      <c r="B62" s="36" t="s">
        <v>409</v>
      </c>
      <c r="C62" s="44">
        <f>+C19-C12</f>
        <v>12</v>
      </c>
      <c r="D62" s="39" t="s">
        <v>0</v>
      </c>
      <c r="E62" s="37" t="s">
        <v>51</v>
      </c>
      <c r="F62" s="37"/>
      <c r="G62" s="37"/>
      <c r="H62" s="37"/>
      <c r="I62" s="38"/>
    </row>
    <row r="63" spans="1:9" ht="18" x14ac:dyDescent="0.35">
      <c r="A63" s="34"/>
      <c r="B63" s="36" t="s">
        <v>50</v>
      </c>
      <c r="C63" s="44">
        <v>1</v>
      </c>
      <c r="D63" s="39"/>
      <c r="E63" s="37" t="s">
        <v>49</v>
      </c>
      <c r="F63" s="37"/>
      <c r="G63" s="37"/>
      <c r="H63" s="37"/>
      <c r="I63" s="38"/>
    </row>
    <row r="64" spans="1:9" ht="18" x14ac:dyDescent="0.35">
      <c r="A64" s="34"/>
      <c r="B64" s="36" t="s">
        <v>47</v>
      </c>
      <c r="C64" s="61">
        <f>0.02*C63*C11*1000/(C10*1000)^0.5*L21*0.7</f>
        <v>22.485691530393279</v>
      </c>
      <c r="D64" s="39" t="s">
        <v>0</v>
      </c>
      <c r="E64" s="37" t="str">
        <f>+IF(C64&gt;C62,"NG; insufficient length available to develop hook","OK; sufficient length available to develop hook")</f>
        <v>NG; insufficient length available to develop hook</v>
      </c>
      <c r="F64" s="37"/>
      <c r="G64" s="37"/>
      <c r="H64" s="37"/>
      <c r="I64" s="38"/>
    </row>
    <row r="65" spans="1:15" x14ac:dyDescent="0.25">
      <c r="A65" s="34"/>
      <c r="B65" s="36" t="s">
        <v>410</v>
      </c>
      <c r="C65" s="66">
        <f>+C61/L22</f>
        <v>15.933149904319215</v>
      </c>
      <c r="D65" s="39"/>
      <c r="E65" s="37"/>
      <c r="F65" s="37"/>
      <c r="G65" s="37"/>
      <c r="H65" s="37"/>
      <c r="I65" s="38"/>
    </row>
    <row r="66" spans="1:15" x14ac:dyDescent="0.25">
      <c r="A66" s="34"/>
      <c r="B66" s="36" t="s">
        <v>411</v>
      </c>
      <c r="C66" s="84">
        <v>21</v>
      </c>
      <c r="D66" s="39"/>
      <c r="E66" s="37"/>
      <c r="F66" s="37"/>
      <c r="G66" s="37"/>
      <c r="H66" s="37"/>
      <c r="I66" s="38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C7*C14*(1*(C18*12/2+C12-C43/4))+C7*C14*(2*(C18*12+C12-C43/4))+C7*C14*(1*(1.5*C18*12+C12-C43/4))-C7*(C22/2-C43/12/4)*C23*C21/12*0.15*(C22/2-C43/12/4)*12/2</f>
        <v>24103.9724413125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1869.5104738398923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71.153499999999994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6.1260583333333329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0.51046815002961665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3.8464999999999998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6.581567951961854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3.0630291666666665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8.7754239359491386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34.812742135406999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36.695852247999994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36.695852247999994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22.557942720000003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1.8092316400866311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22.557942720000003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66.580231685643128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3.0630291666666665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112.5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66.580231685643128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112.5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10.020940894944806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25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43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71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+C18*12*0.866+C12</f>
        <v>65.352000000000004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35.5</v>
      </c>
      <c r="C88" s="39" t="s">
        <v>0</v>
      </c>
      <c r="D88" s="37"/>
      <c r="E88" s="37"/>
      <c r="F88" s="37"/>
      <c r="G88" s="70"/>
      <c r="H88" s="37"/>
      <c r="I88" s="38"/>
      <c r="J88" s="16" t="s">
        <v>231</v>
      </c>
      <c r="K88" s="51"/>
      <c r="L88" s="51"/>
      <c r="M88" s="51"/>
      <c r="N88" s="51"/>
      <c r="O88" s="51">
        <f>+C18*12/2+C12</f>
        <v>39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+IF(M86&gt;O90,0,IF(M86&gt;O89,2,IF(M86&gt;O87,6,IF(M86&gt;O88,8,10))))</f>
        <v>8</v>
      </c>
      <c r="F89" s="37"/>
      <c r="G89" s="37"/>
      <c r="H89" s="37"/>
      <c r="I89" s="38"/>
      <c r="J89" s="16" t="s">
        <v>236</v>
      </c>
      <c r="K89" s="51"/>
      <c r="L89" s="51"/>
      <c r="M89" s="51"/>
      <c r="N89" s="51"/>
      <c r="O89" s="51">
        <f>+C18*12+C12</f>
        <v>75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232</v>
      </c>
      <c r="K90" s="51"/>
      <c r="L90" s="51"/>
      <c r="M90" s="51"/>
      <c r="N90" s="51"/>
      <c r="O90" s="51">
        <f>1.5*C18*12+C12</f>
        <v>111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344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252.98221281347034</v>
      </c>
      <c r="P91" s="16" t="s">
        <v>5</v>
      </c>
    </row>
    <row r="92" spans="1:17" ht="18.75" x14ac:dyDescent="0.35">
      <c r="A92" s="59" t="s">
        <v>7</v>
      </c>
      <c r="B92" s="68">
        <f>+B90*B91*B87/1000</f>
        <v>6178.8375657561992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4634.1281743171494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679.02182800000003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0.14652633730832351</v>
      </c>
      <c r="C95" s="39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78.5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71</v>
      </c>
      <c r="C99" s="39" t="s">
        <v>0</v>
      </c>
      <c r="D99" s="37"/>
      <c r="E99" s="37"/>
      <c r="F99" s="37"/>
      <c r="G99" s="37"/>
      <c r="H99" s="37"/>
      <c r="I99" s="38"/>
      <c r="J99" s="16" t="s">
        <v>222</v>
      </c>
      <c r="K99" s="51"/>
      <c r="L99" s="51"/>
      <c r="M99" s="51"/>
      <c r="N99" s="51"/>
      <c r="O99" s="51">
        <f>C18*12/2+C12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+IF(M98&gt;O101,0,IF(M98&gt;O100,1,IF(M98&gt;O99,3,4)))</f>
        <v>1</v>
      </c>
      <c r="F100" s="37"/>
      <c r="G100" s="37"/>
      <c r="H100" s="37"/>
      <c r="I100" s="38"/>
      <c r="J100" s="16" t="s">
        <v>59</v>
      </c>
      <c r="K100" s="51"/>
      <c r="L100" s="51"/>
      <c r="M100" s="51"/>
      <c r="N100" s="51"/>
      <c r="O100" s="51">
        <f>C18*12+C12</f>
        <v>75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J101" s="16" t="s">
        <v>59</v>
      </c>
      <c r="K101" s="51"/>
      <c r="L101" s="51"/>
      <c r="M101" s="51"/>
      <c r="N101" s="51"/>
      <c r="O101" s="51">
        <f>C18*12*1.5+C12</f>
        <v>111</v>
      </c>
      <c r="P101" s="16" t="s">
        <v>0</v>
      </c>
      <c r="Q101" s="16" t="s">
        <v>119</v>
      </c>
    </row>
    <row r="102" spans="1:17" x14ac:dyDescent="0.25">
      <c r="A102" s="59" t="s">
        <v>61</v>
      </c>
      <c r="B102" s="68">
        <f>+C23*12*B99</f>
        <v>10985.0064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1389.505613421067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1042.1292100658002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50.544100999999998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4.8500800583843762E-2</v>
      </c>
      <c r="C106" s="39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78.5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71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C18*12*0.866+C12</f>
        <v>65.352000000000004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+IF(M109&gt;O110,0,3)</f>
        <v>0</v>
      </c>
      <c r="F111" s="37"/>
      <c r="G111" s="37"/>
      <c r="H111" s="37"/>
      <c r="I111" s="38"/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126.49110640673517</v>
      </c>
      <c r="P112" s="16" t="s">
        <v>5</v>
      </c>
    </row>
    <row r="113" spans="1:23" x14ac:dyDescent="0.25">
      <c r="A113" s="59" t="s">
        <v>61</v>
      </c>
      <c r="B113" s="68">
        <f>+C22*12*B110</f>
        <v>17466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2209.2936645000364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23" ht="18" x14ac:dyDescent="0.35">
      <c r="A115" s="59" t="s">
        <v>12</v>
      </c>
      <c r="B115" s="68">
        <f>+B114*0.75</f>
        <v>1656.9702483750273</v>
      </c>
      <c r="C115" s="39" t="s">
        <v>18</v>
      </c>
      <c r="D115" s="37"/>
      <c r="E115" s="37"/>
      <c r="F115" s="37"/>
      <c r="G115" s="37"/>
      <c r="H115" s="37"/>
      <c r="I115" s="38"/>
    </row>
    <row r="116" spans="1:23" ht="18" x14ac:dyDescent="0.35">
      <c r="A116" s="59" t="s">
        <v>57</v>
      </c>
      <c r="B116" s="68">
        <f>+E111*C14*C7-C7*0.15*C22*C23*C21/12*((C23/2-M109/12)/C23)</f>
        <v>3.1571640000000061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1.905383638056388E-3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23.740000000000002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854.34807799999999</v>
      </c>
      <c r="W127" s="37" t="s">
        <v>8</v>
      </c>
    </row>
    <row r="128" spans="1:23" ht="18.75" x14ac:dyDescent="0.35">
      <c r="A128" s="59" t="s">
        <v>1</v>
      </c>
      <c r="B128" s="43">
        <f>+B87</f>
        <v>71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NG, but answer conservative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35.5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10</v>
      </c>
      <c r="G130" s="37"/>
      <c r="H130" s="37"/>
      <c r="I130" s="38"/>
      <c r="Q130" s="37" t="s">
        <v>16</v>
      </c>
      <c r="R130" s="16">
        <v>15.98</v>
      </c>
      <c r="S130" s="16" t="s">
        <v>0</v>
      </c>
      <c r="U130" s="37" t="s">
        <v>11</v>
      </c>
      <c r="V130" s="37">
        <f>+B135</f>
        <v>344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31.5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  <c r="Q131" s="37" t="s">
        <v>13</v>
      </c>
      <c r="R131" s="37">
        <f>+C14*E130*C7-C7*0.15*C22*C23*C21/12+C7*0.15*(C43)/12*(C43)/12*C21/12</f>
        <v>854.34807799999999</v>
      </c>
      <c r="S131" s="37" t="s">
        <v>8</v>
      </c>
      <c r="T131" s="37"/>
      <c r="U131" s="37" t="s">
        <v>2</v>
      </c>
      <c r="V131" s="37">
        <f>+B136</f>
        <v>60</v>
      </c>
      <c r="W131" s="37" t="s">
        <v>0</v>
      </c>
    </row>
    <row r="132" spans="1:23" ht="18.75" x14ac:dyDescent="0.35">
      <c r="A132" s="59" t="s">
        <v>57</v>
      </c>
      <c r="B132" s="68">
        <f>+C14*E130*C7-C7*0.15*C22*C23*C21/12+C7*0.15*(C43)/12*(C43)/12*C21/12</f>
        <v>854.34807799999999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32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8621.6338126830706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344</v>
      </c>
      <c r="S134" s="37" t="s">
        <v>0</v>
      </c>
      <c r="T134" s="37"/>
      <c r="U134" s="34" t="s">
        <v>12</v>
      </c>
      <c r="V134" s="37">
        <f>+V133*0.75</f>
        <v>6466.2253595123029</v>
      </c>
      <c r="W134" s="37" t="s">
        <v>8</v>
      </c>
    </row>
    <row r="135" spans="1:23" ht="18" x14ac:dyDescent="0.35">
      <c r="A135" s="59" t="s">
        <v>11</v>
      </c>
      <c r="B135" s="61">
        <f>4*(B128+C43)</f>
        <v>344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1634.6131126339153</v>
      </c>
      <c r="P135" s="16" t="s">
        <v>5</v>
      </c>
      <c r="Q135" s="37" t="s">
        <v>2</v>
      </c>
      <c r="R135" s="37">
        <f>+B136</f>
        <v>60</v>
      </c>
      <c r="S135" s="37" t="s">
        <v>0</v>
      </c>
      <c r="T135" s="37"/>
      <c r="U135" s="34" t="s">
        <v>14</v>
      </c>
      <c r="V135" s="37">
        <f>+V127/V134</f>
        <v>0.13212469880023434</v>
      </c>
      <c r="W135" s="37"/>
    </row>
    <row r="136" spans="1:23" ht="18" x14ac:dyDescent="0.35">
      <c r="A136" s="59" t="s">
        <v>2</v>
      </c>
      <c r="B136" s="61">
        <f>4*C43</f>
        <v>60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32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25.845502645502645</v>
      </c>
      <c r="C137" s="39"/>
      <c r="D137" s="37" t="s">
        <v>9</v>
      </c>
      <c r="E137" s="37"/>
      <c r="F137" s="37"/>
      <c r="G137" s="37"/>
      <c r="H137" s="37"/>
      <c r="I137" s="38"/>
      <c r="Q137" s="34" t="s">
        <v>7</v>
      </c>
      <c r="R137" s="37">
        <f>+R136*(C10*1000)^0.5*R135*B128/1000</f>
        <v>8621.6338126830706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6963.4518598204786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Q138" s="34" t="s">
        <v>12</v>
      </c>
      <c r="R138" s="37">
        <f>+R137*0.75</f>
        <v>6466.2253595123029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5222.5888948653592</v>
      </c>
      <c r="C139" s="39" t="s">
        <v>18</v>
      </c>
      <c r="D139" s="37"/>
      <c r="E139" s="37"/>
      <c r="F139" s="37"/>
      <c r="G139" s="37"/>
      <c r="H139" s="37"/>
      <c r="I139" s="38"/>
      <c r="Q139" s="34" t="s">
        <v>14</v>
      </c>
      <c r="R139" s="37">
        <f>+R131/R138</f>
        <v>0.13212469880023434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0.16358708203894068</v>
      </c>
      <c r="C140" s="37"/>
      <c r="D140" s="130" t="s">
        <v>233</v>
      </c>
      <c r="F140" s="16" t="s">
        <v>14</v>
      </c>
      <c r="G140" s="80">
        <f>+(B140+R139)/2</f>
        <v>0.14785589041958752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71.153499999999994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+C18*12/2-C43/2+C12</f>
        <v>31.5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0.44270485640200413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4*C7*C14-C7*0.15*C22*C23*C21/12*((C22/2-C43/2/12)/C22)</f>
        <v>310.96277900000001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C7*C14*(1*B145)+C7*C14*(2*(B145+C18/2*12))+C7*C14*(1*(B145+C18*12))-C7*0.15*C22*C23*C21/12*((C22/2-C43/2/12)/C22)*(C22/2-C43/2/12)*12/2</f>
        <v>22950.100487250002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258.65618559765733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0.96409556497884252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1.0372415726463231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4.0897133868991897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2135.612063187652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0.14560827050950984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69.460499999999996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+C18*12*0.866-C43/2+C12</f>
        <v>57.851999999999997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0.83287623901354002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3*C7*C14-C7*0.15*C22*C23*C21/12*((C23/2-C43/2/12)/C23)</f>
        <v>190.66466400000007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C7*C14*(3*B158)-C7*0.15*C22*C23*C21/12*((C23/2-C43/2/12)/C23)*(C23/2-C43/2/12)*12/2</f>
        <v>15462.042047654399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87.64084045042344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0.85652741422864498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1.167504954760334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1.3857233593737766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1123.1578823506745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0.16975766897611497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71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35.5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66.077650000000006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91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20297.231500000002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2.7015252440338964</v>
      </c>
      <c r="AF172" s="16" t="s">
        <v>5</v>
      </c>
    </row>
    <row r="173" spans="1:32" ht="18.75" x14ac:dyDescent="0.35">
      <c r="A173" s="34"/>
      <c r="B173" s="40">
        <f>+C66</f>
        <v>21</v>
      </c>
      <c r="C173" s="39" t="s">
        <v>70</v>
      </c>
      <c r="D173" s="72" t="str">
        <f>"#"&amp;+C24</f>
        <v>#14</v>
      </c>
      <c r="E173" s="37" t="s">
        <v>71</v>
      </c>
      <c r="F173" s="37" t="s">
        <v>72</v>
      </c>
      <c r="G173" s="43">
        <f>+C23-0.5</f>
        <v>12.3932</v>
      </c>
      <c r="H173" s="39" t="s">
        <v>73</v>
      </c>
      <c r="I173" s="38"/>
      <c r="Q173" s="16" t="s">
        <v>7</v>
      </c>
      <c r="R173" s="16">
        <f>+R172*T171/1000</f>
        <v>5134.8385388572751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2.0749831250000006</v>
      </c>
      <c r="H174" s="39" t="s">
        <v>73</v>
      </c>
      <c r="I174" s="38"/>
      <c r="Q174" s="16" t="s">
        <v>12</v>
      </c>
      <c r="R174" s="16">
        <f>+R173*0.75</f>
        <v>3851.1289041429563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1993.5509058061036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54.833483281249997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1.4238288212648866E-2</v>
      </c>
    </row>
    <row r="177" spans="1:32" x14ac:dyDescent="0.25">
      <c r="A177" s="34"/>
      <c r="B177" s="40">
        <f>+C84</f>
        <v>25</v>
      </c>
      <c r="C177" s="39" t="s">
        <v>70</v>
      </c>
      <c r="D177" s="72" t="str">
        <f>"#"&amp;+C25</f>
        <v>#14</v>
      </c>
      <c r="E177" s="37" t="s">
        <v>71</v>
      </c>
      <c r="F177" s="37" t="s">
        <v>72</v>
      </c>
      <c r="G177" s="43">
        <f>+C22-0.5</f>
        <v>20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2.0749831250000006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3829.9630246657989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71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35.5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5823.5139304719023</v>
      </c>
      <c r="D181" s="39" t="s">
        <v>78</v>
      </c>
      <c r="E181" s="37" t="s">
        <v>79</v>
      </c>
      <c r="F181" s="80">
        <f>+C181/2000</f>
        <v>2.9117569652359512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285.87650000000002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30521.231500000002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3.575330283814071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7721.3286826621943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5790.9965119966455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109.12348328124997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1.8843645140381185E-2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71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35.5</v>
      </c>
      <c r="U192" s="16" t="s">
        <v>0</v>
      </c>
      <c r="W192" s="51"/>
    </row>
    <row r="193" spans="1:54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101.46912500000001</v>
      </c>
      <c r="U193" s="16" t="s">
        <v>0</v>
      </c>
      <c r="V193" s="51"/>
      <c r="W193" s="51"/>
    </row>
    <row r="194" spans="1:54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7204.3078750000004</v>
      </c>
      <c r="U194" s="16" t="s">
        <v>34</v>
      </c>
    </row>
    <row r="195" spans="1:54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12.745273024622438</v>
      </c>
      <c r="AF195" s="16" t="s">
        <v>5</v>
      </c>
    </row>
    <row r="196" spans="1:54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1822.5617480070105</v>
      </c>
      <c r="S196" s="16" t="s">
        <v>8</v>
      </c>
      <c r="T196" s="16" t="s">
        <v>87</v>
      </c>
    </row>
    <row r="197" spans="1:54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1366.9213110052578</v>
      </c>
      <c r="S197" s="16" t="s">
        <v>8</v>
      </c>
    </row>
    <row r="198" spans="1:54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91.820870820312507</v>
      </c>
      <c r="S198" s="16" t="s">
        <v>8</v>
      </c>
      <c r="T198" s="16" t="s">
        <v>344</v>
      </c>
    </row>
    <row r="199" spans="1:54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6.7173486930850346E-2</v>
      </c>
      <c r="T199" s="16" t="s">
        <v>145</v>
      </c>
      <c r="V199" s="16">
        <f>+(C19*C19+C19*T170+3.1415*T170^2/4/4)/144</f>
        <v>22.332795789930557</v>
      </c>
      <c r="W199" s="16" t="s">
        <v>146</v>
      </c>
    </row>
    <row r="200" spans="1:54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4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4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71</v>
      </c>
      <c r="U202" s="16" t="s">
        <v>0</v>
      </c>
      <c r="V202" s="16" t="s">
        <v>52</v>
      </c>
      <c r="W202" s="51"/>
    </row>
    <row r="203" spans="1:54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4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4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6278.2459999999992</v>
      </c>
      <c r="U205" s="16" t="s">
        <v>34</v>
      </c>
    </row>
    <row r="206" spans="1:54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16.885136611949598</v>
      </c>
      <c r="AF206" s="16" t="s">
        <v>5</v>
      </c>
    </row>
    <row r="207" spans="1:54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794.14228283365935</v>
      </c>
      <c r="S207" s="16" t="s">
        <v>8</v>
      </c>
      <c r="T207" s="16" t="s">
        <v>93</v>
      </c>
    </row>
    <row r="208" spans="1:54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595.60671212524448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</row>
    <row r="209" spans="1:54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106.0090413934261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</row>
    <row r="210" spans="1:54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0.17798496765619806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</row>
    <row r="211" spans="1:54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</row>
    <row r="212" spans="1:54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</row>
    <row r="213" spans="1:54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</row>
    <row r="214" spans="1:54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54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54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54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54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4" max="37" man="1"/>
    <brk id="85" max="37" man="1"/>
    <brk id="126" max="37" man="1"/>
    <brk id="167" max="37" man="1"/>
    <brk id="208" max="37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237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20.737575</v>
      </c>
    </row>
    <row r="20" spans="1:17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17" ht="18" x14ac:dyDescent="0.35">
      <c r="A21" s="34"/>
      <c r="B21" s="36" t="s">
        <v>397</v>
      </c>
      <c r="C21" s="84">
        <v>63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1.41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2*C19/12+3*C18</f>
        <v>20.5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1.5614040375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17" x14ac:dyDescent="0.25">
      <c r="A23" s="34"/>
      <c r="B23" s="36" t="s">
        <v>399</v>
      </c>
      <c r="C23" s="122">
        <f>2*C19/12+2*C18*0.8661</f>
        <v>12.8932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11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51.885000000000005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53.295000000000002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53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122</v>
      </c>
      <c r="B31" s="37"/>
      <c r="C31" s="37"/>
      <c r="D31" s="37"/>
      <c r="E31" s="37"/>
      <c r="F31" s="49" t="str">
        <f>+IF(B64&gt;B62,"NG; select smaller bar size","OK")</f>
        <v>NG; select smaller bar size</v>
      </c>
      <c r="G31" s="37"/>
      <c r="H31" s="37"/>
      <c r="I31" s="38"/>
      <c r="J31" s="50" t="s">
        <v>84</v>
      </c>
    </row>
    <row r="32" spans="1:17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53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26.5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73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12154.463500000002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+IF(B131&gt;B129,"NA",IF(G140&lt;1,"OK","NG"))</f>
        <v>NA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7.5181389510734054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NG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3074.863071790558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NG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2306.1473038429185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91.378945468750004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3.96240714183686E-2</v>
      </c>
    </row>
    <row r="41" spans="1:25" ht="18" x14ac:dyDescent="0.35">
      <c r="A41" s="34"/>
      <c r="B41" s="59" t="s">
        <v>22</v>
      </c>
      <c r="C41" s="60">
        <f>C7*11*C14-C7*C22*C23*C21/12*0.15</f>
        <v>1074.968644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16.393357221752961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17</v>
      </c>
      <c r="D43" s="39" t="s">
        <v>0</v>
      </c>
      <c r="E43" s="115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C7*C14*(4*(0.8661*C18*12+C12-C43/4))-C7*(C23/2-C43/12/4)*C22*C21/12*0.15*(C23/2-C43/12/4)*12/2</f>
        <v>25535.4024471062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1245.6293876637171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51.885000000000005</v>
      </c>
      <c r="D48" s="39" t="s">
        <v>0</v>
      </c>
      <c r="E48" s="37"/>
      <c r="F48" s="37"/>
      <c r="G48" s="37"/>
      <c r="H48" s="37"/>
      <c r="I48" s="38"/>
    </row>
    <row r="49" spans="1:9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0.46314509518102653</v>
      </c>
      <c r="D49" s="39" t="s">
        <v>406</v>
      </c>
      <c r="E49" s="37"/>
      <c r="F49" s="37"/>
      <c r="G49" s="37"/>
      <c r="H49" s="37"/>
      <c r="I49" s="38"/>
    </row>
    <row r="50" spans="1:9" ht="18" x14ac:dyDescent="0.35">
      <c r="A50" s="34"/>
      <c r="B50" s="36" t="s">
        <v>38</v>
      </c>
      <c r="C50" s="61">
        <f>+C49*C22</f>
        <v>9.4944744512110439</v>
      </c>
      <c r="D50" s="39" t="s">
        <v>407</v>
      </c>
      <c r="E50" s="37"/>
      <c r="F50" s="37"/>
      <c r="G50" s="37"/>
      <c r="H50" s="37"/>
      <c r="I50" s="38"/>
    </row>
    <row r="51" spans="1:9" ht="18" x14ac:dyDescent="0.35">
      <c r="A51" s="34"/>
      <c r="B51" s="36" t="s">
        <v>42</v>
      </c>
      <c r="C51" s="61">
        <f>+C50*4/3</f>
        <v>12.659299268281393</v>
      </c>
      <c r="D51" s="39" t="s">
        <v>407</v>
      </c>
      <c r="E51" s="37"/>
      <c r="F51" s="37"/>
      <c r="G51" s="37"/>
      <c r="H51" s="37"/>
      <c r="I51" s="38"/>
    </row>
    <row r="52" spans="1:9" ht="18.75" x14ac:dyDescent="0.35">
      <c r="A52" s="34"/>
      <c r="B52" s="36" t="s">
        <v>420</v>
      </c>
      <c r="C52" s="61">
        <f>3*(C10*1000)^0.5*C22*12*C48/C11/1000</f>
        <v>40.362394993867746</v>
      </c>
      <c r="D52" s="39" t="s">
        <v>407</v>
      </c>
      <c r="E52" s="37"/>
      <c r="F52" s="37"/>
      <c r="G52" s="37"/>
      <c r="H52" s="37"/>
      <c r="I52" s="38"/>
    </row>
    <row r="53" spans="1:9" ht="18" x14ac:dyDescent="0.35">
      <c r="A53" s="34"/>
      <c r="B53" s="36" t="s">
        <v>421</v>
      </c>
      <c r="C53" s="61">
        <f>200*C22*12*C48/C11/1000</f>
        <v>42.545700000000004</v>
      </c>
      <c r="D53" s="39" t="s">
        <v>407</v>
      </c>
      <c r="E53" s="37"/>
      <c r="F53" s="37"/>
      <c r="G53" s="37"/>
      <c r="H53" s="37"/>
      <c r="I53" s="38"/>
    </row>
    <row r="54" spans="1:9" ht="18" x14ac:dyDescent="0.35">
      <c r="A54" s="34"/>
      <c r="B54" s="36" t="s">
        <v>43</v>
      </c>
      <c r="C54" s="61">
        <f>+MAX(C52:C53)</f>
        <v>42.545700000000004</v>
      </c>
      <c r="D54" s="39" t="s">
        <v>407</v>
      </c>
      <c r="E54" s="37"/>
      <c r="F54" s="37"/>
      <c r="G54" s="37"/>
      <c r="H54" s="37"/>
      <c r="I54" s="38"/>
    </row>
    <row r="55" spans="1:9" ht="18" x14ac:dyDescent="0.35">
      <c r="A55" s="34"/>
      <c r="B55" s="36" t="s">
        <v>408</v>
      </c>
      <c r="C55" s="61">
        <f>+IF(C11=60,0.0018*C22*12*C21,0.002*C22*12*C21)</f>
        <v>27.896400000000003</v>
      </c>
      <c r="D55" s="39" t="s">
        <v>407</v>
      </c>
      <c r="E55" s="37"/>
      <c r="F55" s="37"/>
      <c r="G55" s="37"/>
      <c r="H55" s="37"/>
      <c r="I55" s="38"/>
    </row>
    <row r="56" spans="1:9" ht="18" x14ac:dyDescent="0.35">
      <c r="A56" s="34"/>
      <c r="B56" s="36" t="s">
        <v>40</v>
      </c>
      <c r="C56" s="63">
        <f>+IF(C50&gt;C54,C50,IF(C51&gt;C54,C54,IF(C51&gt;C55,C51,C55)))</f>
        <v>27.896400000000003</v>
      </c>
      <c r="D56" s="39" t="s">
        <v>407</v>
      </c>
      <c r="E56" s="37"/>
      <c r="F56" s="37"/>
      <c r="G56" s="37"/>
      <c r="H56" s="37"/>
      <c r="I56" s="38"/>
    </row>
    <row r="57" spans="1:9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</row>
    <row r="58" spans="1:9" x14ac:dyDescent="0.25">
      <c r="A58" s="124"/>
      <c r="B58" s="65" t="s">
        <v>44</v>
      </c>
      <c r="C58" s="43">
        <f>+C22/C23</f>
        <v>1.5899854186703068</v>
      </c>
      <c r="D58" s="39"/>
      <c r="E58" s="37"/>
      <c r="F58" s="37"/>
      <c r="G58" s="37"/>
      <c r="H58" s="37"/>
      <c r="I58" s="38"/>
    </row>
    <row r="59" spans="1:9" ht="18" x14ac:dyDescent="0.35">
      <c r="A59" s="124"/>
      <c r="B59" s="65" t="s">
        <v>46</v>
      </c>
      <c r="C59" s="61">
        <f>2/(C58+1)</f>
        <v>0.77220511960518912</v>
      </c>
      <c r="D59" s="39"/>
      <c r="E59" s="37" t="s">
        <v>118</v>
      </c>
      <c r="F59" s="37"/>
      <c r="G59" s="37"/>
      <c r="H59" s="37"/>
      <c r="I59" s="38"/>
    </row>
    <row r="60" spans="1:9" ht="18.75" x14ac:dyDescent="0.35">
      <c r="A60" s="34"/>
      <c r="B60" s="36" t="s">
        <v>45</v>
      </c>
      <c r="C60" s="61">
        <f>+C50*C58*C59</f>
        <v>11.657267123236252</v>
      </c>
      <c r="D60" s="39" t="s">
        <v>34</v>
      </c>
      <c r="E60" s="37"/>
      <c r="F60" s="37"/>
      <c r="G60" s="37"/>
      <c r="H60" s="37"/>
      <c r="I60" s="38"/>
    </row>
    <row r="61" spans="1:9" ht="18.75" x14ac:dyDescent="0.35">
      <c r="A61" s="34"/>
      <c r="B61" s="36" t="s">
        <v>40</v>
      </c>
      <c r="C61" s="61">
        <f>+MAX(C60,C56)</f>
        <v>27.896400000000003</v>
      </c>
      <c r="D61" s="39" t="s">
        <v>34</v>
      </c>
      <c r="E61" s="37"/>
      <c r="F61" s="37"/>
      <c r="G61" s="37"/>
      <c r="H61" s="37"/>
      <c r="I61" s="38"/>
    </row>
    <row r="62" spans="1:9" x14ac:dyDescent="0.25">
      <c r="A62" s="34"/>
      <c r="B62" s="36" t="s">
        <v>409</v>
      </c>
      <c r="C62" s="44">
        <f>+C19-C12</f>
        <v>12</v>
      </c>
      <c r="D62" s="39" t="s">
        <v>0</v>
      </c>
      <c r="E62" s="37" t="s">
        <v>51</v>
      </c>
      <c r="F62" s="37"/>
      <c r="G62" s="37"/>
      <c r="H62" s="37"/>
      <c r="I62" s="38"/>
    </row>
    <row r="63" spans="1:9" ht="18" x14ac:dyDescent="0.35">
      <c r="A63" s="34"/>
      <c r="B63" s="36" t="s">
        <v>50</v>
      </c>
      <c r="C63" s="44">
        <v>1</v>
      </c>
      <c r="D63" s="39"/>
      <c r="E63" s="37" t="s">
        <v>49</v>
      </c>
      <c r="F63" s="37"/>
      <c r="G63" s="37"/>
      <c r="H63" s="37"/>
      <c r="I63" s="38"/>
    </row>
    <row r="64" spans="1:9" ht="18" x14ac:dyDescent="0.35">
      <c r="A64" s="34"/>
      <c r="B64" s="36" t="s">
        <v>47</v>
      </c>
      <c r="C64" s="61">
        <f>0.02*C63*C11*1000/(C10*1000)^0.5*L21*0.7</f>
        <v>18.727008303517142</v>
      </c>
      <c r="D64" s="39" t="s">
        <v>0</v>
      </c>
      <c r="E64" s="37" t="str">
        <f>+IF(C64&gt;C62,"NG; insufficient length available to develop hook","OK; sufficient length available to develop hook")</f>
        <v>NG; insufficient length available to develop hook</v>
      </c>
      <c r="F64" s="37"/>
      <c r="G64" s="37"/>
      <c r="H64" s="37"/>
      <c r="I64" s="38"/>
    </row>
    <row r="65" spans="1:15" x14ac:dyDescent="0.25">
      <c r="A65" s="34"/>
      <c r="B65" s="36" t="s">
        <v>410</v>
      </c>
      <c r="C65" s="66">
        <f>+C61/L22</f>
        <v>17.866227657938921</v>
      </c>
      <c r="D65" s="39"/>
      <c r="E65" s="37"/>
      <c r="F65" s="37"/>
      <c r="G65" s="37"/>
      <c r="H65" s="37"/>
      <c r="I65" s="38"/>
    </row>
    <row r="66" spans="1:15" x14ac:dyDescent="0.25">
      <c r="A66" s="34"/>
      <c r="B66" s="36" t="s">
        <v>411</v>
      </c>
      <c r="C66" s="84">
        <v>20</v>
      </c>
      <c r="D66" s="39"/>
      <c r="E66" s="37"/>
      <c r="F66" s="37"/>
      <c r="G66" s="37"/>
      <c r="H66" s="37"/>
      <c r="I66" s="38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C7*C14*(2*(0.5*C18*12+C12-C43/4))+C7*C14*(1*(1*C18*12+C12-C43/4))+C7*C14*(2*(1.5*C18*12+C12-C43/4))-C7*(C22/2-C43/12/4)*C23*C21/12*0.15*(C22/2-C43/12/4)*12/2</f>
        <v>35734.751054687498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2771.5967374032434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53.295000000000002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7.0146857142857142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0.99289499999413522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12.801593813924384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3.5073428571428571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17.06879175189918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26.075247065942168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27.485723759999999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27.485723759999999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17.545066560000002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2.4874772036474164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17.545066560000002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40.331327909954986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3.5073428571428571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111.5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40.331327909954986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111.5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11.236724216553078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22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35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53</v>
      </c>
      <c r="C87" s="39" t="s">
        <v>0</v>
      </c>
      <c r="D87" s="37"/>
      <c r="E87" s="37"/>
      <c r="F87" s="37"/>
      <c r="G87" s="70"/>
      <c r="H87" s="37"/>
      <c r="I87" s="38"/>
      <c r="J87" s="16" t="s">
        <v>238</v>
      </c>
      <c r="K87" s="51"/>
      <c r="L87" s="51"/>
      <c r="M87" s="51"/>
      <c r="N87" s="51"/>
      <c r="O87" s="51">
        <f>+C18*12*0.866+C12</f>
        <v>65.352000000000004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26.5</v>
      </c>
      <c r="C88" s="39" t="s">
        <v>0</v>
      </c>
      <c r="D88" s="37"/>
      <c r="E88" s="37"/>
      <c r="F88" s="37"/>
      <c r="G88" s="70"/>
      <c r="H88" s="37"/>
      <c r="I88" s="38"/>
      <c r="J88" s="16" t="s">
        <v>239</v>
      </c>
      <c r="K88" s="51"/>
      <c r="L88" s="51"/>
      <c r="M88" s="51"/>
      <c r="N88" s="51"/>
      <c r="O88" s="51">
        <f>+C18*12*0.5+C12</f>
        <v>39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+IF(M86&gt;O90,0,IF(M86&gt;O89,4,IF(M86&gt;O87,6,10)))</f>
        <v>10</v>
      </c>
      <c r="F89" s="37"/>
      <c r="G89" s="37"/>
      <c r="H89" s="37"/>
      <c r="I89" s="38"/>
      <c r="J89" s="16" t="s">
        <v>240</v>
      </c>
      <c r="K89" s="51"/>
      <c r="L89" s="51"/>
      <c r="M89" s="51"/>
      <c r="N89" s="51"/>
      <c r="O89" s="51">
        <f>+C18*12+C12</f>
        <v>75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241</v>
      </c>
      <c r="K90" s="51"/>
      <c r="L90" s="51"/>
      <c r="M90" s="51"/>
      <c r="N90" s="51"/>
      <c r="O90" s="51">
        <f>+C18*12*1.5+C12</f>
        <v>111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280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252.98221281347034</v>
      </c>
      <c r="P91" s="16" t="s">
        <v>5</v>
      </c>
    </row>
    <row r="92" spans="1:17" ht="18.75" x14ac:dyDescent="0.35">
      <c r="A92" s="59" t="s">
        <v>7</v>
      </c>
      <c r="B92" s="68">
        <f>+B90*B91*B87/1000</f>
        <v>3754.2560381518997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2815.6920286139248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989.84364400000004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0.35154542256074378</v>
      </c>
      <c r="C95" s="39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61.5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53</v>
      </c>
      <c r="C99" s="39" t="s">
        <v>0</v>
      </c>
      <c r="D99" s="37"/>
      <c r="E99" s="37"/>
      <c r="F99" s="37"/>
      <c r="G99" s="37"/>
      <c r="H99" s="37"/>
      <c r="I99" s="38"/>
      <c r="J99" s="16" t="s">
        <v>242</v>
      </c>
      <c r="K99" s="51"/>
      <c r="L99" s="51"/>
      <c r="M99" s="51"/>
      <c r="N99" s="51"/>
      <c r="O99" s="51">
        <f>0.5*C18*12+C12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+IF(M98&gt;O101,0,IF(M98&gt;O100,2,IF(M98&gt;O99,3,5)))</f>
        <v>3</v>
      </c>
      <c r="F100" s="37"/>
      <c r="G100" s="37"/>
      <c r="H100" s="37"/>
      <c r="I100" s="38"/>
      <c r="J100" s="16" t="s">
        <v>243</v>
      </c>
      <c r="K100" s="51"/>
      <c r="L100" s="51"/>
      <c r="M100" s="51"/>
      <c r="N100" s="51"/>
      <c r="O100" s="51">
        <f>1*C18*12+C12</f>
        <v>75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J101" s="16" t="s">
        <v>244</v>
      </c>
      <c r="K101" s="51"/>
      <c r="L101" s="51"/>
      <c r="M101" s="51"/>
      <c r="N101" s="51"/>
      <c r="O101" s="51">
        <f>1.5*C18*12+C12</f>
        <v>111</v>
      </c>
      <c r="P101" s="16" t="s">
        <v>0</v>
      </c>
      <c r="Q101" s="16" t="s">
        <v>119</v>
      </c>
    </row>
    <row r="102" spans="1:17" x14ac:dyDescent="0.25">
      <c r="A102" s="59" t="s">
        <v>61</v>
      </c>
      <c r="B102" s="68">
        <f>+C23*12*B99</f>
        <v>8200.0751999999993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1037.2365846664302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777.92743849982264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300.74216100000001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0.38659410391791776</v>
      </c>
      <c r="C106" s="39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61.5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53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0.8661*C18*12+C12</f>
        <v>65.359200000000001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+IF(M109&gt;O110,0,4)</f>
        <v>4</v>
      </c>
      <c r="F111" s="37"/>
      <c r="G111" s="37"/>
      <c r="H111" s="37"/>
      <c r="I111" s="38"/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126.49110640673517</v>
      </c>
      <c r="P112" s="16" t="s">
        <v>5</v>
      </c>
    </row>
    <row r="113" spans="1:23" x14ac:dyDescent="0.25">
      <c r="A113" s="59" t="s">
        <v>61</v>
      </c>
      <c r="B113" s="68">
        <f>+C22*12*B110</f>
        <v>13038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1649.1910453310131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23" ht="18" x14ac:dyDescent="0.35">
      <c r="A115" s="59" t="s">
        <v>12</v>
      </c>
      <c r="B115" s="68">
        <f>+B114*0.75</f>
        <v>1236.8932839982599</v>
      </c>
      <c r="C115" s="39" t="s">
        <v>18</v>
      </c>
      <c r="D115" s="37"/>
      <c r="E115" s="37"/>
      <c r="F115" s="37"/>
      <c r="G115" s="37"/>
      <c r="H115" s="37"/>
      <c r="I115" s="38"/>
    </row>
    <row r="116" spans="1:23" ht="18" x14ac:dyDescent="0.35">
      <c r="A116" s="59" t="s">
        <v>57</v>
      </c>
      <c r="B116" s="68">
        <f>+E111*C14*C7-C7*0.15*C22*C23*C21/12*((C23/2-M109/12)/C23)</f>
        <v>477.86307199999999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0.38634139111444338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43.676000000000002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949.49739399999999</v>
      </c>
      <c r="W127" s="37" t="s">
        <v>8</v>
      </c>
    </row>
    <row r="128" spans="1:23" ht="18.75" x14ac:dyDescent="0.35">
      <c r="A128" s="59" t="s">
        <v>1</v>
      </c>
      <c r="B128" s="43">
        <f>+B87</f>
        <v>53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26.5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10</v>
      </c>
      <c r="G130" s="37"/>
      <c r="H130" s="37"/>
      <c r="I130" s="38"/>
      <c r="Q130" s="37" t="s">
        <v>16</v>
      </c>
      <c r="R130" s="16">
        <f>+C18*12*0.866-C43/2+C12</f>
        <v>56.851999999999997</v>
      </c>
      <c r="S130" s="16" t="s">
        <v>0</v>
      </c>
      <c r="U130" s="37" t="s">
        <v>11</v>
      </c>
      <c r="V130" s="37">
        <f>+B135</f>
        <v>280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30.5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Q131" s="37" t="s">
        <v>13</v>
      </c>
      <c r="R131" s="37">
        <f>+C14*E130*C7-C7*0.15*C22*C23*C21/12+C7*0.15*(C43)/12*(C43)/12*C21/12</f>
        <v>949.49739399999999</v>
      </c>
      <c r="S131" s="37" t="s">
        <v>8</v>
      </c>
      <c r="T131" s="37"/>
      <c r="U131" s="37" t="s">
        <v>2</v>
      </c>
      <c r="V131" s="37">
        <f>+B136</f>
        <v>68</v>
      </c>
      <c r="W131" s="37" t="s">
        <v>0</v>
      </c>
    </row>
    <row r="132" spans="1:23" ht="18.75" x14ac:dyDescent="0.35">
      <c r="A132" s="59" t="s">
        <v>57</v>
      </c>
      <c r="B132" s="68">
        <f>+C14*E130*C7-C7*0.15*C22*C23*C21/12+C7*0.15*(C43)/12*(C43)/12*C21/12</f>
        <v>949.49739399999999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9.9933736659788917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2277.8593509255729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280</v>
      </c>
      <c r="S134" s="37" t="s">
        <v>0</v>
      </c>
      <c r="T134" s="37"/>
      <c r="U134" s="34" t="s">
        <v>12</v>
      </c>
      <c r="V134" s="37">
        <f>+V133*0.75</f>
        <v>1708.3945131941796</v>
      </c>
      <c r="W134" s="37" t="s">
        <v>8</v>
      </c>
    </row>
    <row r="135" spans="1:23" ht="18" x14ac:dyDescent="0.35">
      <c r="A135" s="59" t="s">
        <v>11</v>
      </c>
      <c r="B135" s="61">
        <f>4*(B128+C43)</f>
        <v>280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905.07619048985043</v>
      </c>
      <c r="P135" s="16" t="s">
        <v>5</v>
      </c>
      <c r="Q135" s="37" t="s">
        <v>2</v>
      </c>
      <c r="R135" s="37">
        <f>+B136</f>
        <v>68</v>
      </c>
      <c r="S135" s="37" t="s">
        <v>0</v>
      </c>
      <c r="T135" s="37"/>
      <c r="U135" s="34" t="s">
        <v>14</v>
      </c>
      <c r="V135" s="37">
        <f>+V127/V134</f>
        <v>0.55578344853421935</v>
      </c>
      <c r="W135" s="37"/>
    </row>
    <row r="136" spans="1:23" ht="18" x14ac:dyDescent="0.35">
      <c r="A136" s="59" t="s">
        <v>2</v>
      </c>
      <c r="B136" s="61">
        <f>4*C43</f>
        <v>68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7.6773128163528828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14.310511089681773</v>
      </c>
      <c r="C137" s="39"/>
      <c r="D137" s="37" t="s">
        <v>9</v>
      </c>
      <c r="E137" s="37"/>
      <c r="F137" s="37"/>
      <c r="G137" s="37"/>
      <c r="H137" s="37"/>
      <c r="I137" s="38"/>
      <c r="Q137" s="37" t="s">
        <v>7</v>
      </c>
      <c r="R137" s="37">
        <f>+R136*(C10*1000)^0.5*R135*B128/1000</f>
        <v>1749.9434498526934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3261.8945905254209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Q138" s="37" t="s">
        <v>12</v>
      </c>
      <c r="R138" s="37">
        <f>+R137*0.75</f>
        <v>1312.4575873895201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2446.4209428940658</v>
      </c>
      <c r="C139" s="39" t="s">
        <v>18</v>
      </c>
      <c r="D139" s="37"/>
      <c r="E139" s="37"/>
      <c r="F139" s="37"/>
      <c r="G139" s="37"/>
      <c r="H139" s="37"/>
      <c r="I139" s="38"/>
      <c r="Q139" s="37" t="s">
        <v>14</v>
      </c>
      <c r="R139" s="37">
        <f>+R131/R138</f>
        <v>0.72344996373448656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0.38811693333395192</v>
      </c>
      <c r="C140" s="37"/>
      <c r="D140" s="130" t="s">
        <v>233</v>
      </c>
      <c r="F140" s="16" t="s">
        <v>14</v>
      </c>
      <c r="G140" s="80">
        <f>+(B140+R139)/2</f>
        <v>0.55578344853421924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53.295000000000002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+C18*12*0.5-C43/2+C12</f>
        <v>30.5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0.5722863308002627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5*C7*C14-C7*0.15*C22*C23*C21/12*((C22/2-C43/2/12)/C22)</f>
        <v>484.99150299999997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C7*C14*(2*B145)+C7*C14*(1*(B145+0.5*C18*12))+C7*C14*(2*(B145+1*C18*12))-C7*0.15*C22*C23*C21/12*((C22/2-C43/2/12)/C22)*(C22/2-C43/2/12)*12/2</f>
        <v>33685.76354675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52.842257268261797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0.76731590532341598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1.3032441958550436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0.83550944836147223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326.79172937931651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1.4840996861247258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51.885000000000005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+C18*12*0.8661-C43/2+C12</f>
        <v>56.859200000000001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1.0958697118627734</v>
      </c>
      <c r="C159" s="39"/>
      <c r="D159" s="70" t="str">
        <f>+IF(B159&lt;1,"OK, this limit state should be checked","Limit state not applicable")</f>
        <v>Limit state not applicable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4*C7*C14-C7*0.15*C22*C23*C21/12*((C23/2-C43/2/12)/C23)</f>
        <v>363.78057200000001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C7*C14*(4*B158)-C7*0.15*C22*C23*C21/12*((C23/2-C43/2/12)/C23)*(C23/2-C43/2/12)*12/2</f>
        <v>24008.774781731197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36.53987366940752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0.78616069123953036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1.2720045801619917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0.57774613105071093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349.78826321471507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1.0400022249365635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53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26.5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51.393727777777777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73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12154.463500000002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7.5181389510734054</v>
      </c>
      <c r="AF172" s="16" t="s">
        <v>5</v>
      </c>
    </row>
    <row r="173" spans="1:32" ht="18.75" x14ac:dyDescent="0.35">
      <c r="A173" s="34"/>
      <c r="B173" s="40">
        <f>+C66</f>
        <v>20</v>
      </c>
      <c r="C173" s="39" t="s">
        <v>70</v>
      </c>
      <c r="D173" s="72" t="str">
        <f>"#"&amp;+C24</f>
        <v>#11</v>
      </c>
      <c r="E173" s="37" t="s">
        <v>71</v>
      </c>
      <c r="F173" s="37" t="s">
        <v>72</v>
      </c>
      <c r="G173" s="43">
        <f>+C23-0.5</f>
        <v>12.3932</v>
      </c>
      <c r="H173" s="39" t="s">
        <v>73</v>
      </c>
      <c r="I173" s="38"/>
      <c r="Q173" s="16" t="s">
        <v>7</v>
      </c>
      <c r="R173" s="16">
        <f>+R172*T171/1000</f>
        <v>3074.863071790558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1.7281312499999999</v>
      </c>
      <c r="H174" s="39" t="s">
        <v>73</v>
      </c>
      <c r="I174" s="38"/>
      <c r="Q174" s="16" t="s">
        <v>12</v>
      </c>
      <c r="R174" s="16">
        <f>+R173*0.75</f>
        <v>2306.1473038429185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1316.9289352218125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91.378945468750004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3.96240714183686E-2</v>
      </c>
    </row>
    <row r="177" spans="1:32" x14ac:dyDescent="0.25">
      <c r="A177" s="34"/>
      <c r="B177" s="40">
        <f>+C84</f>
        <v>22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20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2337.7688228124998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53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26.5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3654.6977580343123</v>
      </c>
      <c r="D181" s="39" t="s">
        <v>78</v>
      </c>
      <c r="E181" s="37" t="s">
        <v>79</v>
      </c>
      <c r="F181" s="80">
        <f>+C181/2000</f>
        <v>1.8273488790171561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229.32950000000002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19786.463500000002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8.7630083803884382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5005.6233199829639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3754.217489987223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173.38894546874997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4.6185109395284418E-2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53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26.5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87.332375000000013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4628.6158750000004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23.180738964904382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1170.9574863210573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878.218114740793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107.2947363671875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0.12217322162485302</v>
      </c>
      <c r="T199" s="16" t="s">
        <v>145</v>
      </c>
      <c r="V199" s="16">
        <f>+(C19*C19+C19*T170+3.1415*T170^2/4/4)/144</f>
        <v>16.432748914930556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53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4686.5779999999995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23.662450744183896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592.81043648146408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444.60782736109809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110.89592108377586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0.24942413124389123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4" max="37" man="1"/>
    <brk id="85" max="37" man="1"/>
    <brk id="126" max="37" man="1"/>
    <brk id="167" max="37" man="1"/>
    <brk id="208" max="37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245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9.4245000000000001</v>
      </c>
    </row>
    <row r="20" spans="1:17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18.678525000000004</v>
      </c>
    </row>
    <row r="21" spans="1:17" ht="18" x14ac:dyDescent="0.35">
      <c r="A21" s="34"/>
      <c r="B21" s="36" t="s">
        <v>397</v>
      </c>
      <c r="C21" s="84">
        <v>48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0.75</v>
      </c>
      <c r="M21" s="16" t="s">
        <v>20</v>
      </c>
      <c r="N21" s="16" t="s">
        <v>36</v>
      </c>
      <c r="P21" s="16">
        <f>+IF(C25&lt;9,(C25/8),IF(C25=9,1.128,IF(C25=10,1.27,IF(C25=11,1.41,IF(C25=14,1.693,0)))))</f>
        <v>1.27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2*C19/12+3*C18</f>
        <v>20.5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0.44177343750000003</v>
      </c>
      <c r="M22" s="16" t="s">
        <v>34</v>
      </c>
      <c r="N22" s="16" t="s">
        <v>37</v>
      </c>
      <c r="P22" s="16">
        <f>3.1415*P21^2/4</f>
        <v>1.2667313375</v>
      </c>
      <c r="Q22" s="16" t="s">
        <v>34</v>
      </c>
    </row>
    <row r="23" spans="1:17" x14ac:dyDescent="0.25">
      <c r="A23" s="34"/>
      <c r="B23" s="36" t="s">
        <v>399</v>
      </c>
      <c r="C23" s="122">
        <f>2*C19/12+2*C18</f>
        <v>14.5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6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10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37.354999999999997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38.365000000000002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38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122</v>
      </c>
      <c r="B31" s="37"/>
      <c r="C31" s="37"/>
      <c r="D31" s="37"/>
      <c r="E31" s="37"/>
      <c r="F31" s="49" t="str">
        <f>+IF(B64&gt;B62,"NG; select smaller bar size","OK")</f>
        <v>NG; select smaller bar size</v>
      </c>
      <c r="G31" s="37"/>
      <c r="H31" s="37"/>
      <c r="I31" s="38"/>
      <c r="J31" s="50" t="s">
        <v>84</v>
      </c>
    </row>
    <row r="32" spans="1:17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38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19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58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6923.8660000000009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applicable",IF(B140&lt;1,"OK","NG"))</f>
        <v>Not applicable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15.942922157457504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1751.6149419039518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1313.7112064279638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110.38665666666667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8.4026577627218879E-2</v>
      </c>
    </row>
    <row r="41" spans="1:25" ht="18" x14ac:dyDescent="0.35">
      <c r="A41" s="34"/>
      <c r="B41" s="59" t="s">
        <v>22</v>
      </c>
      <c r="C41" s="60">
        <f>C7*12*C14-C7*C22*C23*C21/12*0.15</f>
        <v>1250.6400000000003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17.682194433949654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18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C7*C14*(4*(C18*12+C12-C43/4))-C7*(C23/2-C43/12/4)*C22*C21/12*0.15*(C23/2-C43/12/4)*12/2</f>
        <v>30514.875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1488.530487804878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37.354999999999997</v>
      </c>
      <c r="D48" s="39" t="s">
        <v>0</v>
      </c>
      <c r="E48" s="37"/>
      <c r="F48" s="37"/>
      <c r="G48" s="37"/>
      <c r="H48" s="37"/>
      <c r="I48" s="38"/>
    </row>
    <row r="49" spans="1:9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0.76074263747581838</v>
      </c>
      <c r="D49" s="39" t="s">
        <v>406</v>
      </c>
      <c r="E49" s="37"/>
      <c r="F49" s="37"/>
      <c r="G49" s="37"/>
      <c r="H49" s="37"/>
      <c r="I49" s="38"/>
    </row>
    <row r="50" spans="1:9" ht="18" x14ac:dyDescent="0.35">
      <c r="A50" s="34"/>
      <c r="B50" s="36" t="s">
        <v>38</v>
      </c>
      <c r="C50" s="61">
        <f>+C49*C22</f>
        <v>15.595224068254277</v>
      </c>
      <c r="D50" s="39" t="s">
        <v>407</v>
      </c>
      <c r="E50" s="37"/>
      <c r="F50" s="37"/>
      <c r="G50" s="37"/>
      <c r="H50" s="37"/>
      <c r="I50" s="38"/>
    </row>
    <row r="51" spans="1:9" ht="18" x14ac:dyDescent="0.35">
      <c r="A51" s="34"/>
      <c r="B51" s="36" t="s">
        <v>42</v>
      </c>
      <c r="C51" s="61">
        <f>+C50*4/3</f>
        <v>20.793632091005701</v>
      </c>
      <c r="D51" s="39" t="s">
        <v>407</v>
      </c>
      <c r="E51" s="37"/>
      <c r="F51" s="37"/>
      <c r="G51" s="37"/>
      <c r="H51" s="37"/>
      <c r="I51" s="38"/>
    </row>
    <row r="52" spans="1:9" ht="18.75" x14ac:dyDescent="0.35">
      <c r="A52" s="34"/>
      <c r="B52" s="36" t="s">
        <v>420</v>
      </c>
      <c r="C52" s="61">
        <f>3*(C10*1000)^0.5*C22*12*C48/C11/1000</f>
        <v>29.059212970915091</v>
      </c>
      <c r="D52" s="39" t="s">
        <v>407</v>
      </c>
      <c r="E52" s="37"/>
      <c r="F52" s="37"/>
      <c r="G52" s="37"/>
      <c r="H52" s="37"/>
      <c r="I52" s="38"/>
    </row>
    <row r="53" spans="1:9" ht="18" x14ac:dyDescent="0.35">
      <c r="A53" s="34"/>
      <c r="B53" s="36" t="s">
        <v>421</v>
      </c>
      <c r="C53" s="61">
        <f>200*C22*12*C48/C11/1000</f>
        <v>30.631099999999996</v>
      </c>
      <c r="D53" s="39" t="s">
        <v>407</v>
      </c>
      <c r="E53" s="37"/>
      <c r="F53" s="37"/>
      <c r="G53" s="37"/>
      <c r="H53" s="37"/>
      <c r="I53" s="38"/>
    </row>
    <row r="54" spans="1:9" ht="18" x14ac:dyDescent="0.35">
      <c r="A54" s="34"/>
      <c r="B54" s="36" t="s">
        <v>43</v>
      </c>
      <c r="C54" s="61">
        <f>+MAX(C52:C53)</f>
        <v>30.631099999999996</v>
      </c>
      <c r="D54" s="39" t="s">
        <v>407</v>
      </c>
      <c r="E54" s="37"/>
      <c r="F54" s="37"/>
      <c r="G54" s="37"/>
      <c r="H54" s="37"/>
      <c r="I54" s="38"/>
    </row>
    <row r="55" spans="1:9" ht="18" x14ac:dyDescent="0.35">
      <c r="A55" s="34"/>
      <c r="B55" s="36" t="s">
        <v>408</v>
      </c>
      <c r="C55" s="61">
        <f>+IF(C11=60,0.0018*C22*12*C21,0.002*C22*12*C21)</f>
        <v>21.2544</v>
      </c>
      <c r="D55" s="39" t="s">
        <v>407</v>
      </c>
      <c r="E55" s="37"/>
      <c r="F55" s="37"/>
      <c r="G55" s="37"/>
      <c r="H55" s="37"/>
      <c r="I55" s="38"/>
    </row>
    <row r="56" spans="1:9" ht="18" x14ac:dyDescent="0.35">
      <c r="A56" s="34"/>
      <c r="B56" s="36" t="s">
        <v>40</v>
      </c>
      <c r="C56" s="63">
        <f>+IF(C50&gt;C54,C50,IF(C51&gt;C54,C54,IF(C51&gt;C55,C51,C55)))</f>
        <v>21.2544</v>
      </c>
      <c r="D56" s="39" t="s">
        <v>407</v>
      </c>
      <c r="E56" s="37"/>
      <c r="F56" s="37"/>
      <c r="G56" s="37"/>
      <c r="H56" s="37"/>
      <c r="I56" s="38"/>
    </row>
    <row r="57" spans="1:9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</row>
    <row r="58" spans="1:9" x14ac:dyDescent="0.25">
      <c r="A58" s="124"/>
      <c r="B58" s="65" t="s">
        <v>44</v>
      </c>
      <c r="C58" s="43">
        <f>+C22/C23</f>
        <v>1.4137931034482758</v>
      </c>
      <c r="D58" s="39"/>
      <c r="E58" s="37"/>
      <c r="F58" s="37"/>
      <c r="G58" s="37"/>
      <c r="H58" s="37"/>
      <c r="I58" s="38"/>
    </row>
    <row r="59" spans="1:9" ht="18" x14ac:dyDescent="0.35">
      <c r="A59" s="124"/>
      <c r="B59" s="65" t="s">
        <v>46</v>
      </c>
      <c r="C59" s="61">
        <f>2/(C58+1)</f>
        <v>0.82857142857142863</v>
      </c>
      <c r="D59" s="39"/>
      <c r="E59" s="37" t="s">
        <v>118</v>
      </c>
      <c r="F59" s="37"/>
      <c r="G59" s="37"/>
      <c r="H59" s="37"/>
      <c r="I59" s="38"/>
    </row>
    <row r="60" spans="1:9" ht="18.75" x14ac:dyDescent="0.35">
      <c r="A60" s="34"/>
      <c r="B60" s="36" t="s">
        <v>45</v>
      </c>
      <c r="C60" s="61">
        <f>+C50*C58*C59</f>
        <v>18.268691051383581</v>
      </c>
      <c r="D60" s="39" t="s">
        <v>34</v>
      </c>
      <c r="E60" s="37"/>
      <c r="F60" s="37"/>
      <c r="G60" s="37"/>
      <c r="H60" s="37"/>
      <c r="I60" s="38"/>
    </row>
    <row r="61" spans="1:9" ht="18.75" x14ac:dyDescent="0.35">
      <c r="A61" s="34"/>
      <c r="B61" s="36" t="s">
        <v>40</v>
      </c>
      <c r="C61" s="61">
        <f>+MAX(C60,C56)</f>
        <v>21.2544</v>
      </c>
      <c r="D61" s="39" t="s">
        <v>34</v>
      </c>
      <c r="E61" s="37"/>
      <c r="F61" s="37"/>
      <c r="G61" s="37"/>
      <c r="H61" s="37"/>
      <c r="I61" s="38"/>
    </row>
    <row r="62" spans="1:9" x14ac:dyDescent="0.25">
      <c r="A62" s="34"/>
      <c r="B62" s="36" t="s">
        <v>409</v>
      </c>
      <c r="C62" s="44">
        <f>+C19-C12</f>
        <v>12</v>
      </c>
      <c r="D62" s="39" t="s">
        <v>0</v>
      </c>
      <c r="E62" s="37" t="s">
        <v>51</v>
      </c>
      <c r="F62" s="37"/>
      <c r="G62" s="37"/>
      <c r="H62" s="37"/>
      <c r="I62" s="38"/>
    </row>
    <row r="63" spans="1:9" ht="18" x14ac:dyDescent="0.35">
      <c r="A63" s="34"/>
      <c r="B63" s="36" t="s">
        <v>50</v>
      </c>
      <c r="C63" s="44">
        <v>1</v>
      </c>
      <c r="D63" s="39"/>
      <c r="E63" s="37" t="s">
        <v>49</v>
      </c>
      <c r="F63" s="37"/>
      <c r="G63" s="37"/>
      <c r="H63" s="37"/>
      <c r="I63" s="38"/>
    </row>
    <row r="64" spans="1:9" ht="18" x14ac:dyDescent="0.35">
      <c r="A64" s="34"/>
      <c r="B64" s="36" t="s">
        <v>47</v>
      </c>
      <c r="C64" s="61">
        <f>0.02*C63*C11*1000/(C10*1000)^0.5*L21*0.7</f>
        <v>9.9611746295303938</v>
      </c>
      <c r="D64" s="39" t="s">
        <v>0</v>
      </c>
      <c r="E64" s="37" t="str">
        <f>+IF(C64&gt;C62,"NG; insufficient length available to develop hook","OK; sufficient length available to develop hook")</f>
        <v>OK; sufficient length available to develop hook</v>
      </c>
      <c r="F64" s="37"/>
      <c r="G64" s="37"/>
      <c r="H64" s="37"/>
      <c r="I64" s="38"/>
    </row>
    <row r="65" spans="1:15" x14ac:dyDescent="0.25">
      <c r="A65" s="34"/>
      <c r="B65" s="36" t="s">
        <v>410</v>
      </c>
      <c r="C65" s="66">
        <f>+C61/L22</f>
        <v>48.111539073690906</v>
      </c>
      <c r="D65" s="39"/>
      <c r="E65" s="37"/>
      <c r="F65" s="37"/>
      <c r="G65" s="37"/>
      <c r="H65" s="37"/>
      <c r="I65" s="38"/>
    </row>
    <row r="66" spans="1:15" x14ac:dyDescent="0.25">
      <c r="A66" s="34"/>
      <c r="B66" s="36" t="s">
        <v>411</v>
      </c>
      <c r="C66" s="84">
        <v>31</v>
      </c>
      <c r="D66" s="39"/>
      <c r="E66" s="37"/>
      <c r="F66" s="37"/>
      <c r="G66" s="37"/>
      <c r="H66" s="37"/>
      <c r="I66" s="38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C7*C14*(3*(0.5*C18*12+C12-C43/4))+C7*C14*(3*(1.5*C18*12+C12-C43/4))-C7*(C22/2-C43/12/4)*C23*C21/12*0.15*(C22/2-C43/12/4)*12/2</f>
        <v>45999.495000000003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3172.3789655172413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38.365000000000002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11.115333333333332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1.5920476486823461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3.6349999999999998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23.084690905894018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3.6349999999999998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30.779587874525358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21.10981614323061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22.2517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22.2517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15.0336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23.084690905894018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36.144833655724575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3.6349999999999998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111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36.144833655724575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111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18.223825544139125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16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28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38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+C18*12+C12</f>
        <v>75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19</v>
      </c>
      <c r="C88" s="39" t="s">
        <v>0</v>
      </c>
      <c r="D88" s="37"/>
      <c r="E88" s="37"/>
      <c r="F88" s="37"/>
      <c r="G88" s="70"/>
      <c r="H88" s="37"/>
      <c r="I88" s="38"/>
      <c r="J88" s="16" t="s">
        <v>56</v>
      </c>
      <c r="K88" s="51"/>
      <c r="L88" s="51"/>
      <c r="M88" s="51"/>
      <c r="N88" s="51"/>
      <c r="O88" s="51">
        <f>+C18*12/2+C12</f>
        <v>39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+IF(M86&gt;O89,0,IF(M86&gt;O87,6,IF(M86&gt;O88,10,12)))</f>
        <v>12</v>
      </c>
      <c r="F89" s="37"/>
      <c r="G89" s="37"/>
      <c r="H89" s="37"/>
      <c r="I89" s="38"/>
      <c r="J89" s="16" t="s">
        <v>246</v>
      </c>
      <c r="K89" s="51"/>
      <c r="L89" s="51"/>
      <c r="M89" s="51"/>
      <c r="N89" s="51"/>
      <c r="O89" s="51">
        <f>1.5*C18*12+C12</f>
        <v>111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</row>
    <row r="91" spans="1:17" ht="18" x14ac:dyDescent="0.35">
      <c r="A91" s="59" t="s">
        <v>11</v>
      </c>
      <c r="B91" s="68">
        <f>4*(B87+C43)</f>
        <v>224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252.98221281347034</v>
      </c>
      <c r="P91" s="16" t="s">
        <v>5</v>
      </c>
    </row>
    <row r="92" spans="1:17" ht="18.75" x14ac:dyDescent="0.35">
      <c r="A92" s="59" t="s">
        <v>7</v>
      </c>
      <c r="B92" s="68">
        <f>+B90*B91*B87/1000</f>
        <v>2153.3845954682592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1615.0384466011944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1271.5466666666671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0.78731665449983768</v>
      </c>
      <c r="C95" s="37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47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38</v>
      </c>
      <c r="C99" s="39" t="s">
        <v>0</v>
      </c>
      <c r="D99" s="37"/>
      <c r="E99" s="37"/>
      <c r="F99" s="37"/>
      <c r="G99" s="37"/>
      <c r="H99" s="37"/>
      <c r="I99" s="38"/>
      <c r="J99" s="16" t="s">
        <v>247</v>
      </c>
      <c r="K99" s="51"/>
      <c r="L99" s="51"/>
      <c r="M99" s="51"/>
      <c r="N99" s="51"/>
      <c r="O99" s="51">
        <f>C18*12/2+C12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+IF(M98&gt;O100,0,IF(M98&gt;O99,3,6))</f>
        <v>3</v>
      </c>
      <c r="F100" s="37"/>
      <c r="G100" s="37"/>
      <c r="H100" s="37"/>
      <c r="I100" s="38"/>
      <c r="J100" s="16" t="s">
        <v>59</v>
      </c>
      <c r="K100" s="51"/>
      <c r="L100" s="51"/>
      <c r="M100" s="51"/>
      <c r="N100" s="51"/>
      <c r="O100" s="51">
        <f>1.5*C18*12+C12</f>
        <v>111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L101" s="16" t="s">
        <v>83</v>
      </c>
      <c r="O101" s="16">
        <f>+B101</f>
        <v>126.49110640673517</v>
      </c>
      <c r="P101" s="16" t="s">
        <v>5</v>
      </c>
    </row>
    <row r="102" spans="1:17" x14ac:dyDescent="0.25">
      <c r="A102" s="59" t="s">
        <v>61</v>
      </c>
      <c r="B102" s="68">
        <f>+C23*12*B99</f>
        <v>6612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836.35919556133297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627.26939667099975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295.83999999999997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0.47163148970770985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47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38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C18*12+C12</f>
        <v>75</v>
      </c>
      <c r="P110" s="16" t="s">
        <v>0</v>
      </c>
      <c r="Q110" s="16" t="s">
        <v>119</v>
      </c>
    </row>
    <row r="111" spans="1:17" x14ac:dyDescent="0.25">
      <c r="A111" s="125"/>
      <c r="B111" s="70"/>
      <c r="C111" s="157"/>
      <c r="D111" s="59" t="s">
        <v>414</v>
      </c>
      <c r="E111" s="72">
        <f>+IF(M109&gt;O110,0,4)</f>
        <v>4</v>
      </c>
      <c r="F111" s="37"/>
      <c r="G111" s="37"/>
      <c r="H111" s="37"/>
      <c r="I111" s="38"/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126.49110640673517</v>
      </c>
      <c r="P112" s="16" t="s">
        <v>5</v>
      </c>
    </row>
    <row r="113" spans="1:23" x14ac:dyDescent="0.25">
      <c r="A113" s="59" t="s">
        <v>61</v>
      </c>
      <c r="B113" s="68">
        <f>+C22*12*B110</f>
        <v>9348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1182.4388626901602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23" ht="18" x14ac:dyDescent="0.35">
      <c r="A115" s="59" t="s">
        <v>12</v>
      </c>
      <c r="B115" s="68">
        <f>+B114*0.75</f>
        <v>886.82914701762024</v>
      </c>
      <c r="C115" s="39" t="s">
        <v>18</v>
      </c>
      <c r="D115" s="37"/>
      <c r="E115" s="37"/>
      <c r="F115" s="37"/>
      <c r="G115" s="37"/>
      <c r="H115" s="37"/>
      <c r="I115" s="38"/>
    </row>
    <row r="116" spans="1:23" ht="18" x14ac:dyDescent="0.35">
      <c r="A116" s="59" t="s">
        <v>57</v>
      </c>
      <c r="B116" s="68">
        <f>+E111*C14*C7-C7*0.15*C22*C23*C21/12*((C23/2-M109/12)/C23)</f>
        <v>446.4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0.50336640546967781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48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1252.8</v>
      </c>
      <c r="W127" s="37" t="s">
        <v>8</v>
      </c>
    </row>
    <row r="128" spans="1:23" ht="18.75" x14ac:dyDescent="0.35">
      <c r="A128" s="59" t="s">
        <v>1</v>
      </c>
      <c r="B128" s="43">
        <f>+B87</f>
        <v>38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19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125"/>
      <c r="B130" s="37"/>
      <c r="C130" s="37"/>
      <c r="D130" s="59" t="s">
        <v>453</v>
      </c>
      <c r="E130" s="72">
        <v>12</v>
      </c>
      <c r="G130" s="37"/>
      <c r="H130" s="37"/>
      <c r="I130" s="38"/>
      <c r="Q130" s="37" t="s">
        <v>16</v>
      </c>
      <c r="R130" s="16">
        <f>+C18*12-C43/2+C12</f>
        <v>66</v>
      </c>
      <c r="S130" s="16" t="s">
        <v>0</v>
      </c>
      <c r="U130" s="37" t="s">
        <v>11</v>
      </c>
      <c r="V130" s="37">
        <f>+B135</f>
        <v>224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30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Q131" s="37" t="s">
        <v>13</v>
      </c>
      <c r="R131" s="37">
        <f>+C14*E130*C7-C7*0.15*C22*C23*C21/12+C7*0.15*(C43)/12*(C43)/12*C21/12</f>
        <v>1252.8</v>
      </c>
      <c r="S131" s="37" t="s">
        <v>8</v>
      </c>
      <c r="T131" s="37"/>
      <c r="U131" s="37" t="s">
        <v>2</v>
      </c>
      <c r="V131" s="37">
        <f>+B136</f>
        <v>72</v>
      </c>
      <c r="W131" s="37" t="s">
        <v>0</v>
      </c>
    </row>
    <row r="132" spans="1:23" ht="18.75" x14ac:dyDescent="0.35">
      <c r="A132" s="59" t="s">
        <v>57</v>
      </c>
      <c r="B132" s="68">
        <f>+C14*E130*C7-C7*0.15*C22*C23*C21/12+C7*0.15*(C43)/12*(C43)/12*C21/12</f>
        <v>1252.8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4.9259259259259256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852.38140237285279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224</v>
      </c>
      <c r="S134" s="37" t="s">
        <v>0</v>
      </c>
      <c r="T134" s="37"/>
      <c r="U134" s="34" t="s">
        <v>12</v>
      </c>
      <c r="V134" s="37">
        <f>+V133*0.75</f>
        <v>639.28605177963959</v>
      </c>
      <c r="W134" s="37" t="s">
        <v>8</v>
      </c>
    </row>
    <row r="135" spans="1:23" ht="18" x14ac:dyDescent="0.35">
      <c r="A135" s="59" t="s">
        <v>11</v>
      </c>
      <c r="B135" s="61">
        <f>4*(B128+C43)</f>
        <v>224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498.46865635839339</v>
      </c>
      <c r="P135" s="16" t="s">
        <v>5</v>
      </c>
      <c r="Q135" s="37" t="s">
        <v>2</v>
      </c>
      <c r="R135" s="37">
        <f>+B136</f>
        <v>72</v>
      </c>
      <c r="S135" s="37" t="s">
        <v>0</v>
      </c>
      <c r="T135" s="37"/>
      <c r="U135" s="34" t="s">
        <v>14</v>
      </c>
      <c r="V135" s="37">
        <f>+V127/V134</f>
        <v>1.9596861162737165</v>
      </c>
      <c r="W135" s="37"/>
    </row>
    <row r="136" spans="1:23" ht="18" x14ac:dyDescent="0.35">
      <c r="A136" s="59" t="s">
        <v>2</v>
      </c>
      <c r="B136" s="61">
        <f>4*C43</f>
        <v>72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3.5824915824915826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7.8814814814814813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5.7319865319865322</v>
      </c>
      <c r="Q137" s="37" t="s">
        <v>7</v>
      </c>
      <c r="R137" s="37">
        <f>+R136*(C10*1000)^0.5*R135*B128/1000</f>
        <v>619.91374718025656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1363.8102437965642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991.86199548841046</v>
      </c>
      <c r="Q138" s="37" t="s">
        <v>12</v>
      </c>
      <c r="R138" s="37">
        <f>+R137*0.75</f>
        <v>464.93531038519245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1022.8576828474231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1.2630789421295439</v>
      </c>
      <c r="Q139" s="37" t="s">
        <v>14</v>
      </c>
      <c r="R139" s="37">
        <f>+R131/R138</f>
        <v>2.6945684098763603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1.2248038226710731</v>
      </c>
      <c r="C140" s="37"/>
      <c r="D140" s="130" t="s">
        <v>233</v>
      </c>
      <c r="F140" s="16" t="s">
        <v>14</v>
      </c>
      <c r="G140" s="80">
        <f>+(B140+R139)/2</f>
        <v>1.9596861162737167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38.365000000000002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+C18*12/2-C43/2+C12</f>
        <v>30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0.78196272644337284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6*C7*C14-C7*0.15*C22*C23*C21/12*((C22/2-C43/2/12)/C22)</f>
        <v>635.7600000000001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C7*C14*(3*B145)+C7*C14*(3*(B145+C18*12))-C7*0.15*C22*C23*C21/12*((C22/2-C43/2/12)/C22)*(C22/2-C43/2/12)*12/2</f>
        <v>43150.32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-146.02560614329101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0.56525495987051788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1.7691131807654876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-2.3088675605973781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-731.09654554920053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-0.86959787167701152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37.354999999999997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+C18*12-C43/2+C12</f>
        <v>66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1.7668317494311339</v>
      </c>
      <c r="C159" s="39"/>
      <c r="D159" s="70" t="str">
        <f>+IF(B159&lt;1,"OK, this limit state should be checked","Limit state not applicable")</f>
        <v>Limit state not applicable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4*C7*C14-C7*0.15*C22*C23*C21/12*((C23/2-C43/2/12)/C23)</f>
        <v>384.08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C7*C14*(4*B158)-C7*0.15*C22*C23*C21/12*((C23/2-C43/2/12)/C23)*(C23/2-C43/2/12)*12/2</f>
        <v>28803.119999999999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-106.01285095661808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0.49811646793819553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2.0075626171108167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-1.6762103513543669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-730.64030376088419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-0.52567590101859119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38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19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44.037037037037038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58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6923.8660000000009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15.942922157457504</v>
      </c>
      <c r="AF172" s="16" t="s">
        <v>5</v>
      </c>
    </row>
    <row r="173" spans="1:32" ht="18.75" x14ac:dyDescent="0.35">
      <c r="A173" s="34"/>
      <c r="B173" s="40">
        <f>+C66</f>
        <v>31</v>
      </c>
      <c r="C173" s="39" t="s">
        <v>70</v>
      </c>
      <c r="D173" s="72" t="str">
        <f>"#"&amp;+C24</f>
        <v>#6</v>
      </c>
      <c r="E173" s="37" t="s">
        <v>71</v>
      </c>
      <c r="F173" s="37" t="s">
        <v>72</v>
      </c>
      <c r="G173" s="43">
        <f>+C23-0.5</f>
        <v>14</v>
      </c>
      <c r="H173" s="39" t="s">
        <v>73</v>
      </c>
      <c r="I173" s="38"/>
      <c r="Q173" s="16" t="s">
        <v>7</v>
      </c>
      <c r="R173" s="16">
        <f>+R172*T171/1000</f>
        <v>1751.6149419039518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0.78537500000000005</v>
      </c>
      <c r="H174" s="39" t="s">
        <v>73</v>
      </c>
      <c r="I174" s="38"/>
      <c r="Q174" s="16" t="s">
        <v>12</v>
      </c>
      <c r="R174" s="16">
        <f>+R173*0.75</f>
        <v>1313.7112064279638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652.41346679687501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110.38665666666667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8.4026577627218879E-2</v>
      </c>
    </row>
    <row r="177" spans="1:32" x14ac:dyDescent="0.25">
      <c r="A177" s="34"/>
      <c r="B177" s="40">
        <f>+C84</f>
        <v>16</v>
      </c>
      <c r="C177" s="39" t="s">
        <v>70</v>
      </c>
      <c r="D177" s="72" t="str">
        <f>"#"&amp;+C25</f>
        <v>#10</v>
      </c>
      <c r="E177" s="37" t="s">
        <v>71</v>
      </c>
      <c r="F177" s="37" t="s">
        <v>72</v>
      </c>
      <c r="G177" s="43">
        <f>+C22-0.5</f>
        <v>20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1.5565437500000003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1379.3296786111111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38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19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2031.743145407986</v>
      </c>
      <c r="D181" s="39" t="s">
        <v>78</v>
      </c>
      <c r="E181" s="37" t="s">
        <v>79</v>
      </c>
      <c r="F181" s="80">
        <f>+C181/2000</f>
        <v>1.0158715727039931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182.20700000000002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12395.866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16.98523174312038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3135.9336104192612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2351.950207814446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210.54665666666668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8.9520031490087346E-2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38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19</v>
      </c>
      <c r="U192" s="16" t="s">
        <v>0</v>
      </c>
      <c r="W192" s="51"/>
    </row>
    <row r="193" spans="1:54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75.551749999999998</v>
      </c>
      <c r="U193" s="16" t="s">
        <v>0</v>
      </c>
      <c r="V193" s="51"/>
      <c r="W193" s="51"/>
    </row>
    <row r="194" spans="1:54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2870.9665</v>
      </c>
      <c r="U194" s="16" t="s">
        <v>34</v>
      </c>
    </row>
    <row r="195" spans="1:54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40.507844367625559</v>
      </c>
      <c r="AF195" s="16" t="s">
        <v>5</v>
      </c>
    </row>
    <row r="196" spans="1:54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726.30345808334403</v>
      </c>
      <c r="S196" s="16" t="s">
        <v>8</v>
      </c>
      <c r="T196" s="16" t="s">
        <v>87</v>
      </c>
    </row>
    <row r="197" spans="1:54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544.72759356250799</v>
      </c>
      <c r="S197" s="16" t="s">
        <v>8</v>
      </c>
    </row>
    <row r="198" spans="1:54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116.29666416666666</v>
      </c>
      <c r="S198" s="16" t="s">
        <v>8</v>
      </c>
      <c r="T198" s="16" t="s">
        <v>344</v>
      </c>
    </row>
    <row r="199" spans="1:54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0.21349508550886639</v>
      </c>
      <c r="T199" s="16" t="s">
        <v>145</v>
      </c>
      <c r="V199" s="16">
        <f>+(C19*C19+C19*T170+3.1415*T170^2/4/4)/144</f>
        <v>12.190974826388889</v>
      </c>
      <c r="W199" s="16" t="s">
        <v>146</v>
      </c>
    </row>
    <row r="200" spans="1:54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4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4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38</v>
      </c>
      <c r="U202" s="16" t="s">
        <v>0</v>
      </c>
      <c r="V202" s="16" t="s">
        <v>52</v>
      </c>
      <c r="W202" s="51"/>
    </row>
    <row r="203" spans="1:54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4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4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3360.1879999999996</v>
      </c>
      <c r="U205" s="16" t="s">
        <v>34</v>
      </c>
    </row>
    <row r="206" spans="1:54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34.214847748320629</v>
      </c>
      <c r="AF206" s="16" t="s">
        <v>5</v>
      </c>
    </row>
    <row r="207" spans="1:54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425.03389785463463</v>
      </c>
      <c r="S207" s="16" t="s">
        <v>8</v>
      </c>
      <c r="T207" s="16" t="s">
        <v>93</v>
      </c>
    </row>
    <row r="208" spans="1:54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318.77542339097596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</row>
    <row r="209" spans="1:54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114.96832082573398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</row>
    <row r="210" spans="1:54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0.36065616226858899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</row>
    <row r="211" spans="1:54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</row>
    <row r="212" spans="1:54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</row>
    <row r="213" spans="1:54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</row>
    <row r="214" spans="1:54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54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54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54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54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35" man="1"/>
    <brk id="85" max="35" man="1"/>
    <brk id="126" max="35" man="1"/>
    <brk id="167" max="35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248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12.566000000000001</v>
      </c>
    </row>
    <row r="20" spans="1:17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18.678525000000004</v>
      </c>
    </row>
    <row r="21" spans="1:17" ht="18" x14ac:dyDescent="0.35">
      <c r="A21" s="34"/>
      <c r="B21" s="36" t="s">
        <v>397</v>
      </c>
      <c r="C21" s="84">
        <v>58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</v>
      </c>
      <c r="M21" s="16" t="s">
        <v>20</v>
      </c>
      <c r="N21" s="16" t="s">
        <v>36</v>
      </c>
      <c r="P21" s="16">
        <f>+IF(C25&lt;9,(C25/8),IF(C25=9,1.128,IF(C25=10,1.27,IF(C25=11,1.41,IF(C25=14,1.693,0)))))</f>
        <v>1.27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2*C19/12+4*C18*0.866</f>
        <v>23.283999999999999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0.78537500000000005</v>
      </c>
      <c r="M22" s="16" t="s">
        <v>34</v>
      </c>
      <c r="N22" s="16" t="s">
        <v>37</v>
      </c>
      <c r="P22" s="16">
        <f>3.1415*P21^2/4</f>
        <v>1.2667313375</v>
      </c>
      <c r="Q22" s="16" t="s">
        <v>34</v>
      </c>
    </row>
    <row r="23" spans="1:17" x14ac:dyDescent="0.25">
      <c r="A23" s="34"/>
      <c r="B23" s="36" t="s">
        <v>399</v>
      </c>
      <c r="C23" s="122">
        <f>2*C19/12+2*C18</f>
        <v>14.5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8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10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47.23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48.365000000000002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48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17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48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24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68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10253.856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+IF(B131&gt;B129,"NA",IF(G140&lt;1,"OK","NG"))</f>
        <v>NA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9.6300995341546525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2594.0431807506798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1945.5323855630099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98.745653888888882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5.0755081036758617E-2</v>
      </c>
    </row>
    <row r="41" spans="1:25" ht="18" x14ac:dyDescent="0.35">
      <c r="A41" s="34"/>
      <c r="B41" s="59" t="s">
        <v>22</v>
      </c>
      <c r="C41" s="60">
        <f>C7*13*C14-C7*C22*C23*C21/12*0.15</f>
        <v>1272.36312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17.83509966330438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18</v>
      </c>
      <c r="D43" s="39" t="s">
        <v>0</v>
      </c>
      <c r="E43" s="115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C7*C14*(2*(0.5*C18*12+C12-C43/4))+C7*C14*(3*(1*C18*12+C12-C43/4))-C7*(C23/2-C43/12/4)*C22*C21/12*0.15*(C23/2-C43/12/4)*12/2</f>
        <v>28244.291625000005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1213.0343422521905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47.23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0.49358522371474933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11.492638348974223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15.323517798632297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41.730806899787972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43.988132800000002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43.988132800000002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29.170195200000002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29.170195200000002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1.6057931034482757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9.7288571428571426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0.76752064365869144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3.5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14.164439515007187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3.5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29.170195200000002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3.5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28.460498941515414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75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37.141741461085466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29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28.460498941515414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75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C7*C14*(2*(0.866*C18*12+C12-C43/4))+C7*C14*(3*(2*0.866*C18*12+C12-C43/4))-C7*(C22/2-C43/12/4)*C23*C21/12*0.15*(C22/2-C43/12/4)*12/2</f>
        <v>50077.129434119997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3453.595133387586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48.365000000000002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6.6692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1.3657090992378507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3.6349999999999998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19.802781938948833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3.3346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26.403709251931776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26.612179271923594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28.0517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28.0517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18.165599999999998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26.403709251931776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36.144833655724575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3.3346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127.70400000000001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36.144833655724575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127.70400000000001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20.843969411889422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26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33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48</v>
      </c>
      <c r="C87" s="39" t="s">
        <v>0</v>
      </c>
      <c r="D87" s="37"/>
      <c r="E87" s="37"/>
      <c r="F87" s="37"/>
      <c r="G87" s="70"/>
      <c r="H87" s="37"/>
      <c r="I87" s="38"/>
      <c r="J87" s="16" t="s">
        <v>238</v>
      </c>
      <c r="K87" s="51"/>
      <c r="L87" s="51"/>
      <c r="M87" s="51"/>
      <c r="N87" s="51"/>
      <c r="O87" s="51">
        <f>+C18*12*0.5+C12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24</v>
      </c>
      <c r="C88" s="39" t="s">
        <v>0</v>
      </c>
      <c r="D88" s="37"/>
      <c r="E88" s="37"/>
      <c r="F88" s="37"/>
      <c r="G88" s="70"/>
      <c r="H88" s="37"/>
      <c r="I88" s="38"/>
      <c r="J88" s="16" t="s">
        <v>249</v>
      </c>
      <c r="K88" s="51"/>
      <c r="L88" s="51"/>
      <c r="M88" s="51"/>
      <c r="N88" s="51"/>
      <c r="O88" s="51">
        <f>+C18*12+C12</f>
        <v>75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+IF(M86&gt;O90,0,IF(M86&gt;O88,6,IF(M86&gt;O89,8,12)))</f>
        <v>12</v>
      </c>
      <c r="F89" s="37"/>
      <c r="G89" s="37"/>
      <c r="H89" s="37"/>
      <c r="I89" s="38"/>
      <c r="J89" s="16" t="s">
        <v>239</v>
      </c>
      <c r="K89" s="51"/>
      <c r="L89" s="51"/>
      <c r="M89" s="51"/>
      <c r="N89" s="51"/>
      <c r="O89" s="51">
        <f>+C18*12*0.866+C12</f>
        <v>65.352000000000004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240</v>
      </c>
      <c r="K90" s="51"/>
      <c r="L90" s="51"/>
      <c r="M90" s="51"/>
      <c r="N90" s="51"/>
      <c r="O90" s="51">
        <f>+C18*12*2*0.866+C12</f>
        <v>127.70399999999999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264</v>
      </c>
      <c r="C91" s="39" t="s">
        <v>0</v>
      </c>
      <c r="D91" s="37"/>
      <c r="E91" s="37"/>
      <c r="F91" s="37"/>
      <c r="G91" s="37"/>
      <c r="H91" s="37"/>
      <c r="I91" s="38"/>
      <c r="K91" s="51"/>
      <c r="L91" s="51"/>
      <c r="M91" s="51"/>
      <c r="N91" s="51"/>
      <c r="O91" s="51"/>
    </row>
    <row r="92" spans="1:17" ht="18.75" x14ac:dyDescent="0.35">
      <c r="A92" s="59" t="s">
        <v>7</v>
      </c>
      <c r="B92" s="68">
        <f>+B90*B91*B87/1000</f>
        <v>3205.7906007722959</v>
      </c>
      <c r="C92" s="39" t="s">
        <v>18</v>
      </c>
      <c r="D92" s="37" t="s">
        <v>15</v>
      </c>
      <c r="E92" s="37"/>
      <c r="F92" s="37"/>
      <c r="G92" s="37"/>
      <c r="H92" s="37"/>
      <c r="I92" s="38"/>
      <c r="L92" s="16" t="s">
        <v>83</v>
      </c>
      <c r="O92" s="16">
        <f>+B90</f>
        <v>252.98221281347034</v>
      </c>
      <c r="P92" s="16" t="s">
        <v>5</v>
      </c>
    </row>
    <row r="93" spans="1:17" ht="18" x14ac:dyDescent="0.35">
      <c r="A93" s="59" t="s">
        <v>12</v>
      </c>
      <c r="B93" s="68">
        <f>+B92*0.75</f>
        <v>2404.3429505792219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1179.4531200000001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0.49055111697599635</v>
      </c>
      <c r="C95" s="37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57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48</v>
      </c>
      <c r="C99" s="39" t="s">
        <v>0</v>
      </c>
      <c r="D99" s="37"/>
      <c r="E99" s="37"/>
      <c r="F99" s="37"/>
      <c r="G99" s="37"/>
      <c r="H99" s="37"/>
      <c r="I99" s="38"/>
      <c r="J99" s="16" t="s">
        <v>242</v>
      </c>
      <c r="K99" s="51"/>
      <c r="L99" s="51"/>
      <c r="M99" s="51"/>
      <c r="N99" s="51"/>
      <c r="O99" s="51">
        <f>0.866*C18*12+C12</f>
        <v>65.352000000000004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+IF(M98&gt;O100,0,IF(M98&gt;O99,3,5))</f>
        <v>5</v>
      </c>
      <c r="F100" s="37"/>
      <c r="G100" s="37"/>
      <c r="H100" s="37"/>
      <c r="I100" s="38"/>
      <c r="J100" s="16" t="s">
        <v>243</v>
      </c>
      <c r="K100" s="51"/>
      <c r="L100" s="51"/>
      <c r="M100" s="51"/>
      <c r="N100" s="51"/>
      <c r="O100" s="51">
        <f>2*0.866*C18*12+C12</f>
        <v>127.70399999999999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K101" s="51"/>
      <c r="L101" s="51"/>
      <c r="M101" s="51"/>
      <c r="N101" s="51"/>
      <c r="O101" s="51"/>
    </row>
    <row r="102" spans="1:17" x14ac:dyDescent="0.25">
      <c r="A102" s="59" t="s">
        <v>61</v>
      </c>
      <c r="B102" s="68">
        <f>+C23*12*B99</f>
        <v>8352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1056.4537207090523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792.34029053178915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524.07655999999997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0.66142863901097271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57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48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250</v>
      </c>
      <c r="K110" s="51"/>
      <c r="L110" s="51"/>
      <c r="M110" s="51"/>
      <c r="N110" s="51"/>
      <c r="O110" s="51">
        <f>0.5*C18*12+C12</f>
        <v>39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+IF(M109&gt;O111,0,IF(M109&gt;O110,3,5))</f>
        <v>3</v>
      </c>
      <c r="F111" s="37"/>
      <c r="G111" s="37"/>
      <c r="H111" s="37"/>
      <c r="I111" s="38"/>
      <c r="J111" s="16" t="s">
        <v>251</v>
      </c>
      <c r="K111" s="51"/>
      <c r="L111" s="51"/>
      <c r="M111" s="51"/>
      <c r="N111" s="51"/>
      <c r="O111" s="51">
        <f>C18*12+C12</f>
        <v>75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126.49110640673517</v>
      </c>
      <c r="P112" s="16" t="s">
        <v>5</v>
      </c>
    </row>
    <row r="113" spans="1:23" x14ac:dyDescent="0.25">
      <c r="A113" s="59" t="s">
        <v>61</v>
      </c>
      <c r="B113" s="68">
        <f>+C22*12*B110</f>
        <v>13411.584000000001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1696.446098826867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23" ht="18" x14ac:dyDescent="0.35">
      <c r="A115" s="59" t="s">
        <v>12</v>
      </c>
      <c r="B115" s="68">
        <f>+B114*0.75</f>
        <v>1272.3345741201501</v>
      </c>
      <c r="C115" s="39" t="s">
        <v>18</v>
      </c>
      <c r="D115" s="37"/>
      <c r="E115" s="37"/>
      <c r="F115" s="37"/>
      <c r="G115" s="37"/>
      <c r="H115" s="37"/>
      <c r="I115" s="38"/>
    </row>
    <row r="116" spans="1:23" ht="18" x14ac:dyDescent="0.35">
      <c r="A116" s="59" t="s">
        <v>57</v>
      </c>
      <c r="B116" s="68">
        <f>+E111*C14*C7-C7*0.15*C22*C23*C21/12*((C23/2-M109/12)/C23)</f>
        <v>316.47640000000001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0.24873677603145464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43.176000000000002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1146.9731199999999</v>
      </c>
      <c r="W127" s="37" t="s">
        <v>8</v>
      </c>
    </row>
    <row r="128" spans="1:23" ht="18.75" x14ac:dyDescent="0.35">
      <c r="A128" s="59" t="s">
        <v>1</v>
      </c>
      <c r="B128" s="43">
        <f>+B87</f>
        <v>48</v>
      </c>
      <c r="C128" s="39" t="s">
        <v>0</v>
      </c>
      <c r="D128" s="37"/>
      <c r="E128" s="37"/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24</v>
      </c>
      <c r="C129" s="39" t="s">
        <v>0</v>
      </c>
      <c r="D129" s="37"/>
      <c r="E129" s="37"/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12</v>
      </c>
      <c r="F130" s="37"/>
      <c r="G130" s="37"/>
      <c r="H130" s="37"/>
      <c r="I130" s="38"/>
      <c r="Q130" s="37" t="s">
        <v>16</v>
      </c>
      <c r="R130" s="16">
        <f>+C18*12*0.866-C43/2+C12</f>
        <v>56.351999999999997</v>
      </c>
      <c r="S130" s="16" t="s">
        <v>0</v>
      </c>
      <c r="U130" s="37" t="s">
        <v>11</v>
      </c>
      <c r="V130" s="37">
        <f>+B135</f>
        <v>264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30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Q131" s="37" t="s">
        <v>13</v>
      </c>
      <c r="R131" s="37">
        <f>+C14*E130*C7-C7*0.15*C22*C23*C21/12+C7*0.15*(C43)/12*(C43)/12*C21/12</f>
        <v>1146.9731199999999</v>
      </c>
      <c r="S131" s="37" t="s">
        <v>8</v>
      </c>
      <c r="T131" s="37"/>
      <c r="U131" s="37" t="s">
        <v>2</v>
      </c>
      <c r="V131" s="37">
        <f>+B136</f>
        <v>72</v>
      </c>
      <c r="W131" s="37" t="s">
        <v>0</v>
      </c>
    </row>
    <row r="132" spans="1:23" ht="18.75" x14ac:dyDescent="0.35">
      <c r="A132" s="59" t="s">
        <v>57</v>
      </c>
      <c r="B132" s="68">
        <f>+C14*E130*C7-C7*0.15*C22*C23*C21/12+C7*0.15*(C43)/12*(C43)/12*C21/12</f>
        <v>1146.9731199999999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8.1526774133778019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1781.9847697455789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264</v>
      </c>
      <c r="S134" s="37" t="s">
        <v>0</v>
      </c>
      <c r="T134" s="37"/>
      <c r="U134" s="34" t="s">
        <v>12</v>
      </c>
      <c r="V134" s="37">
        <f>+V133*0.75</f>
        <v>1336.4885773091842</v>
      </c>
      <c r="W134" s="37" t="s">
        <v>8</v>
      </c>
    </row>
    <row r="135" spans="1:23" ht="18" x14ac:dyDescent="0.35">
      <c r="A135" s="59" t="s">
        <v>11</v>
      </c>
      <c r="B135" s="61">
        <f>4*(B128+C43)</f>
        <v>264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742.08115758617976</v>
      </c>
      <c r="P135" s="16" t="s">
        <v>5</v>
      </c>
      <c r="Q135" s="37" t="s">
        <v>2</v>
      </c>
      <c r="R135" s="37">
        <f>+B136</f>
        <v>72</v>
      </c>
      <c r="S135" s="37" t="s">
        <v>0</v>
      </c>
      <c r="T135" s="37"/>
      <c r="U135" s="34" t="s">
        <v>14</v>
      </c>
      <c r="V135" s="37">
        <f>+V127/V134</f>
        <v>0.8581989696531902</v>
      </c>
      <c r="W135" s="37"/>
    </row>
    <row r="136" spans="1:23" ht="18" x14ac:dyDescent="0.35">
      <c r="A136" s="59" t="s">
        <v>2</v>
      </c>
      <c r="B136" s="61">
        <f>4*C43</f>
        <v>72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6.2464508801817145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11.733333333333334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8.9898921067575248</v>
      </c>
      <c r="Q137" s="37" t="s">
        <v>7</v>
      </c>
      <c r="R137" s="37">
        <f>+R136*(C10*1000)^0.5*R135*B128/1000</f>
        <v>1365.328194536753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2564.6324806178372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1964.9803375772951</v>
      </c>
      <c r="Q138" s="37" t="s">
        <v>12</v>
      </c>
      <c r="R138" s="37">
        <f>+R137*0.75</f>
        <v>1023.9961459025648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1923.4743604633779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0.58370717409526351</v>
      </c>
      <c r="Q139" s="37" t="s">
        <v>14</v>
      </c>
      <c r="R139" s="37">
        <f>+R131/R138</f>
        <v>1.1200951532772045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0.59630278602917608</v>
      </c>
      <c r="C140" s="37"/>
      <c r="D140" s="115" t="s">
        <v>233</v>
      </c>
      <c r="E140" s="37"/>
      <c r="F140" s="37" t="s">
        <v>14</v>
      </c>
      <c r="G140" s="80">
        <f>+(B140+R139)/2</f>
        <v>0.85819896965319031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48.365000000000002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+C18*12*0.866-C43/2+C12</f>
        <v>56.351999999999997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1.1651400806368239</v>
      </c>
      <c r="C146" s="39"/>
      <c r="D146" s="70" t="str">
        <f>+IF(B146&lt;1,"OK, this limit state should be checked","Limit state not applicable")</f>
        <v>Limit state not applicable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5*C7*C14-C7*0.15*C22*C23*C21/12*((C22/2-C43/2/12)/C22)</f>
        <v>456.79656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C7*C14*(2*B145)+C7*C14*(3*(B145+0.866*C18*12))-C7*0.15*C22*C23*C21/12*((C22/2-C43/2/12)/C22)*(C22/2-C43/2/12)*12/2</f>
        <v>48035.736789119997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-204.46406779368738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0.45992769344601819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2.1742548105931139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-3.232860769455653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-1290.5020553688407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-0.35396809954668546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47.23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+C18*12*0.5-C43/2+C12</f>
        <v>30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0.63518949820029647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5*C7*C14-C7*0.15*C22*C23*C21/12*((C23/2-C43/2/12)/C23)</f>
        <v>464.43864000000002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C7*C14*(2*B158)+C7*C14*(3*(B158+0.5*C18*12))-C7*0.15*C22*C23*C21/12*((C23/2-C43/2/12)/C23)*(C23/2-C43/2/12)*12/2</f>
        <v>26177.106960000001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102.0365449413174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0.83796261369594827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1.193370663148519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1.6133394329434745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1009.8893450996635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0.45989062292182686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48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24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60.437790123456793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68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10253.856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9.6300995341546525</v>
      </c>
      <c r="AF172" s="16" t="s">
        <v>5</v>
      </c>
    </row>
    <row r="173" spans="1:32" ht="18.75" x14ac:dyDescent="0.35">
      <c r="A173" s="34"/>
      <c r="B173" s="40">
        <f>+C66</f>
        <v>29</v>
      </c>
      <c r="C173" s="39" t="s">
        <v>70</v>
      </c>
      <c r="D173" s="72" t="str">
        <f>"#"&amp;+C24</f>
        <v>#8</v>
      </c>
      <c r="E173" s="37" t="s">
        <v>71</v>
      </c>
      <c r="F173" s="37" t="s">
        <v>72</v>
      </c>
      <c r="G173" s="43">
        <f>+C23-0.5</f>
        <v>14</v>
      </c>
      <c r="H173" s="39" t="s">
        <v>73</v>
      </c>
      <c r="I173" s="38"/>
      <c r="Q173" s="16" t="s">
        <v>7</v>
      </c>
      <c r="R173" s="16">
        <f>+R172*T171/1000</f>
        <v>2594.0431807506798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1.0471666666666668</v>
      </c>
      <c r="H174" s="39" t="s">
        <v>73</v>
      </c>
      <c r="I174" s="38"/>
      <c r="Q174" s="16" t="s">
        <v>12</v>
      </c>
      <c r="R174" s="16">
        <f>+R173*0.75</f>
        <v>1945.5323855630099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1085.0173784722224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98.745653888888882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5.0755081036758617E-2</v>
      </c>
    </row>
    <row r="177" spans="1:32" x14ac:dyDescent="0.25">
      <c r="A177" s="34"/>
      <c r="B177" s="40">
        <f>+C84</f>
        <v>26</v>
      </c>
      <c r="C177" s="39" t="s">
        <v>70</v>
      </c>
      <c r="D177" s="72" t="str">
        <f>"#"&amp;+C25</f>
        <v>#10</v>
      </c>
      <c r="E177" s="37" t="s">
        <v>71</v>
      </c>
      <c r="F177" s="37" t="s">
        <v>72</v>
      </c>
      <c r="G177" s="43">
        <f>+C22-0.5</f>
        <v>22.783999999999999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1.5565437500000003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2553.4151010448886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48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24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3638.432479517111</v>
      </c>
      <c r="D181" s="39" t="s">
        <v>78</v>
      </c>
      <c r="E181" s="37" t="s">
        <v>79</v>
      </c>
      <c r="F181" s="80">
        <f>+C181/2000</f>
        <v>1.8192162397585554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213.62200000000001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17165.856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10.911524242594654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4342.6562357173871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3256.9921767880405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187.30565388888888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5.7508782251237942E-2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48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24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83.405500000000004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4003.4639999999999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27.640375136520664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1012.8051816390672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759.60388622930043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110.65724680555556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0.14567756802148801</v>
      </c>
      <c r="T199" s="16" t="s">
        <v>145</v>
      </c>
      <c r="V199" s="16">
        <f>+(C19*C19+C19*T170+3.1415*T170^2/4/4)/144</f>
        <v>14.950649305555556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48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4244.4479999999994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26.447111064719977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536.88492360585417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402.66369270439066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112.25338766442857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0.27877702831985318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4" max="26" man="1"/>
    <brk id="85" max="26" man="1"/>
    <brk id="126" max="26" man="1"/>
    <brk id="167" max="26" man="1"/>
    <brk id="208" max="26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8.85546875" style="16" hidden="1" customWidth="1"/>
    <col min="11" max="11" width="12.85546875" style="16" hidden="1" customWidth="1"/>
    <col min="12" max="12" width="15.5703125" style="16" hidden="1" customWidth="1"/>
    <col min="13" max="13" width="8.85546875" style="16" hidden="1" customWidth="1"/>
    <col min="14" max="14" width="14.140625" style="16" hidden="1" customWidth="1"/>
    <col min="15" max="15" width="12.85546875" style="16" hidden="1" customWidth="1"/>
    <col min="16" max="27" width="8.85546875" style="16" hidden="1" customWidth="1"/>
    <col min="28" max="28" width="27.85546875" style="16" hidden="1" customWidth="1"/>
    <col min="29" max="38" width="8.85546875" style="16" hidden="1" customWidth="1"/>
    <col min="39" max="52" width="8.85546875" style="16" customWidth="1"/>
    <col min="53" max="16384" width="9.140625" style="16"/>
  </cols>
  <sheetData>
    <row r="1" spans="1:17" ht="15.6" x14ac:dyDescent="0.35">
      <c r="A1" s="99" t="s">
        <v>252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16.590060000000001</v>
      </c>
    </row>
    <row r="20" spans="1:17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18.678525000000004</v>
      </c>
    </row>
    <row r="21" spans="1:17" ht="18" x14ac:dyDescent="0.35">
      <c r="A21" s="34"/>
      <c r="B21" s="36" t="s">
        <v>397</v>
      </c>
      <c r="C21" s="84">
        <v>70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1.1279999999999999</v>
      </c>
      <c r="M21" s="16" t="s">
        <v>20</v>
      </c>
      <c r="N21" s="16" t="s">
        <v>36</v>
      </c>
      <c r="P21" s="16">
        <f>+IF(C25&lt;9,(C25/8),IF(C25=9,1.128,IF(C25=10,1.27,IF(C25=11,1.41,IF(C25=14,1.693,0)))))</f>
        <v>1.27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2*C19/12+C18*3</f>
        <v>20.5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0.99929858399999982</v>
      </c>
      <c r="M22" s="16" t="s">
        <v>34</v>
      </c>
      <c r="N22" s="16" t="s">
        <v>37</v>
      </c>
      <c r="P22" s="16">
        <f>3.1415*P21^2/4</f>
        <v>1.2667313375</v>
      </c>
      <c r="Q22" s="16" t="s">
        <v>34</v>
      </c>
    </row>
    <row r="23" spans="1:17" x14ac:dyDescent="0.25">
      <c r="A23" s="34"/>
      <c r="B23" s="36" t="s">
        <v>399</v>
      </c>
      <c r="C23" s="122">
        <f>2*C19/12+C18+2*0.866*C18</f>
        <v>18.891999999999999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9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10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59.165999999999997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60.365000000000002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60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17" x14ac:dyDescent="0.25">
      <c r="A32" s="34" t="s">
        <v>203</v>
      </c>
      <c r="B32" s="37"/>
      <c r="C32" s="37"/>
      <c r="D32" s="37"/>
      <c r="E32" s="37"/>
      <c r="F32" s="49" t="str">
        <f>+IF(C81&gt;C82,"NG; select smaller bar size","OK")</f>
        <v>OK</v>
      </c>
      <c r="G32" s="37"/>
      <c r="H32" s="37"/>
      <c r="I32" s="38"/>
      <c r="J32" s="16" t="s">
        <v>1</v>
      </c>
      <c r="M32" s="16">
        <f>+C28</f>
        <v>60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30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80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15079.2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applicable",IF(B140&lt;1,"OK","NG"))</f>
        <v>OK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5.2477732387807192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">
        <v>227</v>
      </c>
      <c r="I37" s="38"/>
      <c r="J37" s="16" t="s">
        <v>7</v>
      </c>
      <c r="K37" s="16">
        <f>+K36*M35/1000</f>
        <v>3814.7693834568822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2861.0770375926618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79.132222222222225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2.7658193464376216E-2</v>
      </c>
    </row>
    <row r="41" spans="1:25" ht="18" x14ac:dyDescent="0.35">
      <c r="A41" s="34"/>
      <c r="B41" s="59" t="s">
        <v>22</v>
      </c>
      <c r="C41" s="60">
        <f>C7*14*C14-C7*C22*C23*C21/12*0.15</f>
        <v>1249.7996000000003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17.676252430874595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18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C7*C14*(4*(0.5*C18*12+C12-C43/4))+C7*C14*(3*(0.5*C18*12+0.866*C18*12+C12-C43/4))-C7*(C23/2-C43/12/4)*C22*C21/12*0.15*(C23/2-C43/12/4)*12/2</f>
        <v>40686.028339800003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1984.6843092585368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59.165999999999997</v>
      </c>
      <c r="D48" s="39" t="s">
        <v>0</v>
      </c>
      <c r="E48" s="37"/>
      <c r="F48" s="37"/>
      <c r="G48" s="37"/>
      <c r="H48" s="37"/>
      <c r="I48" s="38"/>
    </row>
    <row r="49" spans="1:18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0.64411464568912891</v>
      </c>
      <c r="D49" s="39" t="s">
        <v>406</v>
      </c>
      <c r="E49" s="37"/>
      <c r="F49" s="37"/>
      <c r="G49" s="37"/>
      <c r="H49" s="37"/>
      <c r="I49" s="38"/>
    </row>
    <row r="50" spans="1:18" ht="18" x14ac:dyDescent="0.35">
      <c r="A50" s="34"/>
      <c r="B50" s="36" t="s">
        <v>38</v>
      </c>
      <c r="C50" s="61">
        <f>+C49*C22</f>
        <v>13.204350236627143</v>
      </c>
      <c r="D50" s="39" t="s">
        <v>407</v>
      </c>
      <c r="E50" s="37"/>
      <c r="F50" s="37"/>
      <c r="G50" s="37"/>
      <c r="H50" s="37"/>
      <c r="I50" s="38"/>
    </row>
    <row r="51" spans="1:18" ht="18" x14ac:dyDescent="0.35">
      <c r="A51" s="34"/>
      <c r="B51" s="36" t="s">
        <v>42</v>
      </c>
      <c r="C51" s="61">
        <f>+C50*4/3</f>
        <v>17.605800315502858</v>
      </c>
      <c r="D51" s="39" t="s">
        <v>407</v>
      </c>
      <c r="E51" s="37"/>
      <c r="F51" s="37"/>
      <c r="G51" s="37"/>
      <c r="H51" s="37"/>
      <c r="I51" s="38"/>
    </row>
    <row r="52" spans="1:18" ht="18.75" x14ac:dyDescent="0.35">
      <c r="A52" s="34"/>
      <c r="B52" s="36" t="s">
        <v>420</v>
      </c>
      <c r="C52" s="61">
        <f>3*(C10*1000)^0.5*C22*12*C48/C11/1000</f>
        <v>46.026432730214488</v>
      </c>
      <c r="D52" s="39" t="s">
        <v>407</v>
      </c>
      <c r="E52" s="37"/>
      <c r="F52" s="37"/>
      <c r="G52" s="37"/>
      <c r="H52" s="37"/>
      <c r="I52" s="38"/>
    </row>
    <row r="53" spans="1:18" ht="18" x14ac:dyDescent="0.35">
      <c r="A53" s="34"/>
      <c r="B53" s="36" t="s">
        <v>421</v>
      </c>
      <c r="C53" s="61">
        <f>200*C22*12*C48/C11/1000</f>
        <v>48.516119999999994</v>
      </c>
      <c r="D53" s="39" t="s">
        <v>407</v>
      </c>
      <c r="E53" s="37"/>
      <c r="F53" s="37"/>
      <c r="G53" s="37"/>
      <c r="H53" s="37"/>
      <c r="I53" s="38"/>
    </row>
    <row r="54" spans="1:18" ht="18" x14ac:dyDescent="0.35">
      <c r="A54" s="34"/>
      <c r="B54" s="36" t="s">
        <v>43</v>
      </c>
      <c r="C54" s="61">
        <f>+MAX(C52:C53)</f>
        <v>48.516119999999994</v>
      </c>
      <c r="D54" s="39" t="s">
        <v>407</v>
      </c>
      <c r="E54" s="37"/>
      <c r="F54" s="37"/>
      <c r="G54" s="37"/>
      <c r="H54" s="37"/>
      <c r="I54" s="38"/>
    </row>
    <row r="55" spans="1:18" ht="18" x14ac:dyDescent="0.35">
      <c r="A55" s="34"/>
      <c r="B55" s="36" t="s">
        <v>408</v>
      </c>
      <c r="C55" s="61">
        <f>+IF(C11=60,0.0018*C22*12*C21,0.002*C22*12*C21)</f>
        <v>30.996000000000002</v>
      </c>
      <c r="D55" s="39" t="s">
        <v>407</v>
      </c>
      <c r="E55" s="37"/>
      <c r="F55" s="37"/>
      <c r="G55" s="37"/>
      <c r="H55" s="37"/>
      <c r="I55" s="38"/>
    </row>
    <row r="56" spans="1:18" ht="18" x14ac:dyDescent="0.35">
      <c r="A56" s="34"/>
      <c r="B56" s="36" t="s">
        <v>40</v>
      </c>
      <c r="C56" s="63">
        <f>+IF(C50&gt;C54,C50,IF(C51&gt;C54,C54,IF(C51&gt;C55,C51,C55)))</f>
        <v>30.996000000000002</v>
      </c>
      <c r="D56" s="39" t="s">
        <v>407</v>
      </c>
      <c r="E56" s="37"/>
      <c r="F56" s="37"/>
      <c r="G56" s="37"/>
      <c r="H56" s="37"/>
      <c r="I56" s="38"/>
    </row>
    <row r="57" spans="1:18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  <c r="P57" s="160"/>
      <c r="Q57" s="160"/>
      <c r="R57" s="160"/>
    </row>
    <row r="58" spans="1:18" x14ac:dyDescent="0.25">
      <c r="A58" s="124"/>
      <c r="B58" s="65" t="s">
        <v>44</v>
      </c>
      <c r="C58" s="43">
        <f>+C22/C23</f>
        <v>1.0851153927588397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7.9624000000000006</v>
      </c>
      <c r="N58" s="160" t="s">
        <v>0</v>
      </c>
      <c r="O58" s="160"/>
      <c r="P58" s="160"/>
      <c r="Q58" s="160"/>
      <c r="R58" s="160"/>
    </row>
    <row r="59" spans="1:18" ht="18" x14ac:dyDescent="0.35">
      <c r="A59" s="124"/>
      <c r="B59" s="65" t="s">
        <v>46</v>
      </c>
      <c r="C59" s="61">
        <f>2/(C58+1)</f>
        <v>0.95917952883834279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3.5640000000000001</v>
      </c>
      <c r="N59" s="160" t="s">
        <v>0</v>
      </c>
      <c r="O59" s="160"/>
      <c r="P59" s="160"/>
      <c r="Q59" s="160"/>
      <c r="R59" s="160"/>
    </row>
    <row r="60" spans="1:18" ht="18" x14ac:dyDescent="0.35">
      <c r="A60" s="34"/>
      <c r="B60" s="36" t="s">
        <v>45</v>
      </c>
      <c r="C60" s="61">
        <f>+C50*C58*C59</f>
        <v>13.743358034669802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3.5640000000000001</v>
      </c>
      <c r="N60" s="160" t="s">
        <v>0</v>
      </c>
      <c r="O60" s="160"/>
      <c r="P60" s="160"/>
      <c r="Q60" s="160"/>
      <c r="R60" s="160"/>
    </row>
    <row r="61" spans="1:18" ht="18" x14ac:dyDescent="0.35">
      <c r="A61" s="34"/>
      <c r="B61" s="36" t="s">
        <v>40</v>
      </c>
      <c r="C61" s="61">
        <f>+MAX(C60,C56)</f>
        <v>30.996000000000002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  <c r="P61" s="160"/>
      <c r="Q61" s="160"/>
      <c r="R61" s="160"/>
    </row>
    <row r="62" spans="1:18" ht="18" x14ac:dyDescent="0.35">
      <c r="A62" s="34"/>
      <c r="B62" s="36" t="s">
        <v>208</v>
      </c>
      <c r="C62" s="164">
        <f>+M60</f>
        <v>3.5640000000000001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  <c r="P62" s="160"/>
      <c r="Q62" s="160"/>
      <c r="R62" s="160"/>
    </row>
    <row r="63" spans="1:18" ht="18" x14ac:dyDescent="0.35">
      <c r="A63" s="34"/>
      <c r="B63" s="36" t="s">
        <v>209</v>
      </c>
      <c r="C63" s="162">
        <f>+M66</f>
        <v>32.103442806029385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  <c r="P63" s="160"/>
      <c r="Q63" s="160"/>
      <c r="R63" s="160"/>
    </row>
    <row r="64" spans="1:18" ht="18" x14ac:dyDescent="0.35">
      <c r="A64" s="34"/>
      <c r="B64" s="36" t="s">
        <v>212</v>
      </c>
      <c r="C64" s="162">
        <f>+M67</f>
        <v>101.352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  <c r="P64" s="160"/>
      <c r="Q64" s="160"/>
      <c r="R64" s="160"/>
    </row>
    <row r="65" spans="1:18" x14ac:dyDescent="0.25">
      <c r="A65" s="34"/>
      <c r="B65" s="36" t="s">
        <v>410</v>
      </c>
      <c r="C65" s="163">
        <f>+C61/L22</f>
        <v>31.017756350588414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  <c r="P65" s="160"/>
      <c r="Q65" s="160"/>
      <c r="R65" s="160"/>
    </row>
    <row r="66" spans="1:18" x14ac:dyDescent="0.25">
      <c r="A66" s="34"/>
      <c r="B66" s="36" t="s">
        <v>411</v>
      </c>
      <c r="C66" s="84">
        <v>31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32.103442806029385</v>
      </c>
      <c r="N66" s="160" t="s">
        <v>0</v>
      </c>
      <c r="O66" s="160"/>
      <c r="P66" s="160"/>
      <c r="Q66" s="160"/>
      <c r="R66" s="160"/>
    </row>
    <row r="67" spans="1:18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101.352</v>
      </c>
      <c r="N67" s="160" t="s">
        <v>0</v>
      </c>
      <c r="O67" s="160" t="str">
        <f>+IF(M67&gt;M66,"OK; required development length available","NG")</f>
        <v>OK; required development length available</v>
      </c>
      <c r="P67" s="160"/>
      <c r="Q67" s="160"/>
      <c r="R67" s="160"/>
    </row>
    <row r="68" spans="1:18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  <c r="K68" s="160"/>
      <c r="L68" s="160"/>
      <c r="M68" s="160"/>
      <c r="N68" s="160"/>
      <c r="O68" s="160"/>
      <c r="P68" s="160"/>
      <c r="Q68" s="160"/>
      <c r="R68" s="160"/>
    </row>
    <row r="69" spans="1:18" ht="18" x14ac:dyDescent="0.35">
      <c r="A69" s="34"/>
      <c r="B69" s="36" t="s">
        <v>25</v>
      </c>
      <c r="C69" s="60">
        <f>C7*C14*(2*(0.5*C18*12+C12-C43/4))+C7*C14*(2*(1*C18*12 +C12-C43/4))+C7*C14*(2*(1.5*C18*12+C12-C43/4))-C7*(C22/2-C43/12/4)*C23*C21/12*0.15*(C22/2-C43/12/4)*12/2</f>
        <v>38668.972425</v>
      </c>
      <c r="D69" s="39" t="s">
        <v>26</v>
      </c>
      <c r="E69" s="37" t="s">
        <v>117</v>
      </c>
      <c r="F69" s="37"/>
      <c r="G69" s="37"/>
      <c r="H69" s="37"/>
      <c r="I69" s="38"/>
      <c r="K69" s="160"/>
      <c r="L69" s="160"/>
      <c r="M69" s="160"/>
      <c r="N69" s="160"/>
      <c r="O69" s="160"/>
      <c r="P69" s="160"/>
      <c r="Q69" s="160"/>
      <c r="R69" s="160"/>
    </row>
    <row r="70" spans="1:18" ht="18" x14ac:dyDescent="0.35">
      <c r="A70" s="34"/>
      <c r="B70" s="36" t="s">
        <v>25</v>
      </c>
      <c r="C70" s="68">
        <f>+C69/C23</f>
        <v>2046.8437658797375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  <c r="P70" s="160"/>
      <c r="Q70" s="160"/>
      <c r="R70" s="160"/>
    </row>
    <row r="71" spans="1:18" x14ac:dyDescent="0.25">
      <c r="A71" s="34"/>
      <c r="B71" s="36" t="s">
        <v>1</v>
      </c>
      <c r="C71" s="44">
        <f>+C21-C15-C16-P21/2</f>
        <v>60.365000000000002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9.540608695652173</v>
      </c>
      <c r="N71" s="160" t="s">
        <v>0</v>
      </c>
      <c r="O71" s="160"/>
      <c r="P71" s="160"/>
      <c r="Q71" s="160"/>
      <c r="R71" s="160"/>
    </row>
    <row r="72" spans="1:18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0.65121141112334158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3.6349999999999998</v>
      </c>
      <c r="N72" s="160" t="s">
        <v>0</v>
      </c>
      <c r="O72" s="160"/>
      <c r="P72" s="160"/>
      <c r="Q72" s="160"/>
      <c r="R72" s="160"/>
    </row>
    <row r="73" spans="1:18" ht="18.75" x14ac:dyDescent="0.35">
      <c r="A73" s="34"/>
      <c r="B73" s="36" t="s">
        <v>38</v>
      </c>
      <c r="C73" s="61">
        <f>+C72*C23</f>
        <v>12.302685978942169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3.6349999999999998</v>
      </c>
      <c r="N73" s="160" t="s">
        <v>0</v>
      </c>
      <c r="O73" s="160"/>
      <c r="P73" s="160"/>
      <c r="Q73" s="160"/>
      <c r="R73" s="160"/>
    </row>
    <row r="74" spans="1:18" ht="18.75" x14ac:dyDescent="0.35">
      <c r="A74" s="34"/>
      <c r="B74" s="36" t="s">
        <v>42</v>
      </c>
      <c r="C74" s="61">
        <f>+C73*4/3</f>
        <v>16.403581305256225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  <c r="P74" s="160"/>
      <c r="Q74" s="160"/>
      <c r="R74" s="160"/>
    </row>
    <row r="75" spans="1:18" ht="18.75" x14ac:dyDescent="0.35">
      <c r="A75" s="34"/>
      <c r="B75" s="36" t="s">
        <v>420</v>
      </c>
      <c r="C75" s="61">
        <f>3*(C10*1000)^0.5*C23*12*C71/C11/1000</f>
        <v>43.275728543303572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  <c r="P75" s="160"/>
      <c r="Q75" s="160"/>
      <c r="R75" s="160"/>
    </row>
    <row r="76" spans="1:18" ht="18.75" x14ac:dyDescent="0.35">
      <c r="A76" s="34"/>
      <c r="B76" s="36" t="s">
        <v>421</v>
      </c>
      <c r="C76" s="61">
        <f>200*C23*12*C71/C11/1000</f>
        <v>45.616623200000006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  <c r="P76" s="160"/>
      <c r="Q76" s="160"/>
      <c r="R76" s="160"/>
    </row>
    <row r="77" spans="1:18" ht="18.75" x14ac:dyDescent="0.35">
      <c r="A77" s="34"/>
      <c r="B77" s="36" t="s">
        <v>43</v>
      </c>
      <c r="C77" s="61">
        <f>+MAX(C75:C76)</f>
        <v>45.616623200000006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  <c r="P77" s="160"/>
      <c r="Q77" s="160"/>
      <c r="R77" s="160"/>
    </row>
    <row r="78" spans="1:18" ht="18.75" x14ac:dyDescent="0.35">
      <c r="A78" s="34"/>
      <c r="B78" s="36" t="s">
        <v>408</v>
      </c>
      <c r="C78" s="61">
        <f>+IF(C11=60,0.0018*C23*12*C21,0.002*C23*12*C21)</f>
        <v>28.564703999999999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  <c r="P78" s="160"/>
      <c r="Q78" s="160"/>
      <c r="R78" s="160"/>
    </row>
    <row r="79" spans="1:18" ht="18.75" x14ac:dyDescent="0.35">
      <c r="A79" s="34"/>
      <c r="B79" s="36" t="s">
        <v>40</v>
      </c>
      <c r="C79" s="61">
        <f>+IF(C73&gt;C77,C73,IF(C74&gt;C77,C77,IF(C74&gt;C78,C74,C78)))</f>
        <v>28.564703999999999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36.144833655724575</v>
      </c>
      <c r="N79" s="160" t="s">
        <v>0</v>
      </c>
      <c r="O79" s="160"/>
      <c r="P79" s="160"/>
      <c r="Q79" s="160"/>
      <c r="R79" s="160"/>
    </row>
    <row r="80" spans="1:18" ht="18" x14ac:dyDescent="0.35">
      <c r="A80" s="34"/>
      <c r="B80" s="161" t="s">
        <v>208</v>
      </c>
      <c r="C80" s="68">
        <f>+M73</f>
        <v>3.6349999999999998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111</v>
      </c>
      <c r="N80" s="160" t="s">
        <v>0</v>
      </c>
      <c r="O80" s="160" t="str">
        <f>+IF(M80&gt;M79,"OK; required development length available","NG")</f>
        <v>OK; required development length available</v>
      </c>
      <c r="P80" s="160"/>
      <c r="Q80" s="160"/>
      <c r="R80" s="160"/>
    </row>
    <row r="81" spans="1:17" ht="18" x14ac:dyDescent="0.35">
      <c r="A81" s="34"/>
      <c r="B81" s="161" t="s">
        <v>209</v>
      </c>
      <c r="C81" s="61">
        <f>+M79</f>
        <v>36.144833655724575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111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22.549930797776604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24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39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60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+C18/2*12+C12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30</v>
      </c>
      <c r="C88" s="39" t="s">
        <v>0</v>
      </c>
      <c r="D88" s="37"/>
      <c r="E88" s="37"/>
      <c r="F88" s="37"/>
      <c r="G88" s="70"/>
      <c r="H88" s="37"/>
      <c r="I88" s="38"/>
      <c r="J88" s="16" t="s">
        <v>56</v>
      </c>
      <c r="K88" s="51"/>
      <c r="L88" s="51"/>
      <c r="M88" s="51"/>
      <c r="N88" s="51"/>
      <c r="O88" s="51">
        <f>+C18/2*12+C12</f>
        <v>39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+IF(M86&gt;O91,0,IF(M86&gt;O89,4,IF(M86&gt;O87,10,14)))</f>
        <v>14</v>
      </c>
      <c r="F89" s="37"/>
      <c r="G89" s="37"/>
      <c r="H89" s="37"/>
      <c r="I89" s="38"/>
      <c r="J89" s="16" t="s">
        <v>220</v>
      </c>
      <c r="K89" s="51"/>
      <c r="L89" s="51"/>
      <c r="M89" s="51"/>
      <c r="N89" s="51"/>
      <c r="O89" s="51">
        <f>0.5*C18*12+0.866*C18*12+C12</f>
        <v>101.352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253</v>
      </c>
      <c r="K90" s="51"/>
      <c r="L90" s="51"/>
      <c r="M90" s="51"/>
      <c r="N90" s="51"/>
      <c r="O90" s="51">
        <f>1*C18*12+C12</f>
        <v>75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312</v>
      </c>
      <c r="C91" s="39" t="s">
        <v>0</v>
      </c>
      <c r="D91" s="37"/>
      <c r="E91" s="37"/>
      <c r="F91" s="37"/>
      <c r="G91" s="37"/>
      <c r="H91" s="37"/>
      <c r="I91" s="38"/>
      <c r="J91" s="16" t="s">
        <v>254</v>
      </c>
      <c r="K91" s="51"/>
      <c r="L91" s="51"/>
      <c r="M91" s="51"/>
      <c r="N91" s="51"/>
      <c r="O91" s="51">
        <f>1.5*C18*12+C12</f>
        <v>111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4735.8270238681653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3551.870267901124</v>
      </c>
      <c r="C93" s="39" t="s">
        <v>18</v>
      </c>
      <c r="D93" s="37"/>
      <c r="E93" s="37"/>
      <c r="F93" s="37"/>
      <c r="G93" s="37"/>
      <c r="H93" s="37"/>
      <c r="I93" s="38"/>
      <c r="L93" s="16" t="s">
        <v>83</v>
      </c>
      <c r="O93" s="16">
        <f>+B90</f>
        <v>252.98221281347034</v>
      </c>
      <c r="P93" s="16" t="s">
        <v>5</v>
      </c>
    </row>
    <row r="94" spans="1:17" ht="18" x14ac:dyDescent="0.35">
      <c r="A94" s="59" t="s">
        <v>57</v>
      </c>
      <c r="B94" s="68">
        <f>+E89*C7*C14-C7*0.15*C22*C23*C21/12+C7*0.15*(2*M86)/12*(2*M86)/12*C21/12</f>
        <v>1308.9496000000004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0.36852404543859835</v>
      </c>
      <c r="C95" s="37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69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60</v>
      </c>
      <c r="C99" s="39" t="s">
        <v>0</v>
      </c>
      <c r="D99" s="37"/>
      <c r="E99" s="37"/>
      <c r="F99" s="37"/>
      <c r="G99" s="37"/>
      <c r="H99" s="37"/>
      <c r="I99" s="38"/>
      <c r="J99" s="16" t="s">
        <v>222</v>
      </c>
      <c r="K99" s="51"/>
      <c r="L99" s="51"/>
      <c r="M99" s="51"/>
      <c r="N99" s="51"/>
      <c r="O99" s="51">
        <f>0.5*C18*12+C12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+IF(M98&gt;O101,0,IF(M98&gt;O100,2,IF(M98&gt;O99,4,6)))</f>
        <v>4</v>
      </c>
      <c r="F100" s="37"/>
      <c r="G100" s="37"/>
      <c r="H100" s="37"/>
      <c r="I100" s="38"/>
      <c r="J100" s="16" t="s">
        <v>243</v>
      </c>
      <c r="K100" s="51"/>
      <c r="L100" s="51"/>
      <c r="M100" s="51"/>
      <c r="N100" s="51"/>
      <c r="O100" s="51">
        <f>1*C18*12+C12</f>
        <v>75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J101" s="16" t="s">
        <v>244</v>
      </c>
      <c r="K101" s="51"/>
      <c r="L101" s="51"/>
      <c r="M101" s="51"/>
      <c r="N101" s="51"/>
      <c r="O101" s="51">
        <f>1.5*C18*12+C12</f>
        <v>111</v>
      </c>
      <c r="P101" s="16" t="s">
        <v>0</v>
      </c>
      <c r="Q101" s="16" t="s">
        <v>119</v>
      </c>
    </row>
    <row r="102" spans="1:17" x14ac:dyDescent="0.25">
      <c r="A102" s="59" t="s">
        <v>61</v>
      </c>
      <c r="B102" s="68">
        <f>+C23*12*B99</f>
        <v>13602.24</v>
      </c>
      <c r="C102" s="39" t="s">
        <v>407</v>
      </c>
      <c r="D102" s="37"/>
      <c r="E102" s="37"/>
      <c r="F102" s="37"/>
      <c r="G102" s="37"/>
      <c r="H102" s="37"/>
      <c r="I102" s="38"/>
      <c r="L102" s="16" t="s">
        <v>83</v>
      </c>
      <c r="O102" s="16">
        <f>+B101</f>
        <v>126.49110640673517</v>
      </c>
      <c r="P102" s="16" t="s">
        <v>5</v>
      </c>
    </row>
    <row r="103" spans="1:17" ht="18.75" x14ac:dyDescent="0.35">
      <c r="A103" s="59" t="s">
        <v>7</v>
      </c>
      <c r="B103" s="68">
        <f>+B101*B102/1000</f>
        <v>1720.5623872099493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1290.4217904074619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392.98039999999997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0.30453639493790086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69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60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223</v>
      </c>
      <c r="K110" s="51"/>
      <c r="L110" s="51"/>
      <c r="M110" s="51"/>
      <c r="N110" s="51"/>
      <c r="O110" s="51">
        <f>0.5*C18*12+C12</f>
        <v>39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+IF(M109&gt;O111,0,IF(M109&gt;O110,3,7))</f>
        <v>3</v>
      </c>
      <c r="F111" s="37"/>
      <c r="G111" s="37"/>
      <c r="H111" s="37"/>
      <c r="I111" s="38"/>
      <c r="J111" s="16" t="s">
        <v>81</v>
      </c>
      <c r="K111" s="51"/>
      <c r="L111" s="51"/>
      <c r="M111" s="51"/>
      <c r="N111" s="51"/>
      <c r="O111" s="51">
        <f>(0.5+0.866)*C18*12+C12</f>
        <v>101.35200000000002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126.49110640673517</v>
      </c>
      <c r="P112" s="16" t="s">
        <v>5</v>
      </c>
    </row>
    <row r="113" spans="1:9" x14ac:dyDescent="0.25">
      <c r="A113" s="59" t="s">
        <v>61</v>
      </c>
      <c r="B113" s="68">
        <f>+C22*12*B110</f>
        <v>14760</v>
      </c>
      <c r="C113" s="157" t="s">
        <v>0</v>
      </c>
      <c r="D113" s="37"/>
      <c r="E113" s="37"/>
      <c r="F113" s="37"/>
      <c r="G113" s="37"/>
      <c r="H113" s="37"/>
      <c r="I113" s="38"/>
    </row>
    <row r="114" spans="1:9" ht="18.75" x14ac:dyDescent="0.35">
      <c r="A114" s="59" t="s">
        <v>7</v>
      </c>
      <c r="B114" s="68">
        <f>+B112*B113/1000</f>
        <v>1867.0087305634111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9" ht="18" x14ac:dyDescent="0.35">
      <c r="A115" s="59" t="s">
        <v>12</v>
      </c>
      <c r="B115" s="68">
        <f>+B114*0.75</f>
        <v>1400.2565479225582</v>
      </c>
      <c r="C115" s="39" t="s">
        <v>18</v>
      </c>
      <c r="D115" s="37"/>
      <c r="E115" s="37"/>
      <c r="F115" s="37"/>
      <c r="G115" s="37"/>
      <c r="H115" s="37"/>
      <c r="I115" s="38"/>
    </row>
    <row r="116" spans="1:9" ht="18" x14ac:dyDescent="0.35">
      <c r="A116" s="59" t="s">
        <v>57</v>
      </c>
      <c r="B116" s="68">
        <f>+E111*C14*C7-C7*0.15*C22*C23*C21/12*((C23/2-M109/12)/C23)</f>
        <v>277.9248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9" ht="18" x14ac:dyDescent="0.35">
      <c r="A117" s="59" t="s">
        <v>14</v>
      </c>
      <c r="B117" s="63">
        <f>+B116/B115</f>
        <v>0.19848134287415647</v>
      </c>
      <c r="C117" s="157"/>
      <c r="D117" s="37"/>
      <c r="E117" s="37"/>
      <c r="F117" s="37"/>
      <c r="G117" s="37"/>
      <c r="H117" s="37"/>
      <c r="I117" s="38"/>
    </row>
    <row r="118" spans="1:9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9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9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9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9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9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9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9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9" x14ac:dyDescent="0.2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</row>
    <row r="127" spans="1:9" ht="18.75" x14ac:dyDescent="0.3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</row>
    <row r="128" spans="1:9" x14ac:dyDescent="0.25">
      <c r="A128" s="59" t="s">
        <v>1</v>
      </c>
      <c r="B128" s="43">
        <f>+B87</f>
        <v>60</v>
      </c>
      <c r="C128" s="39" t="s">
        <v>0</v>
      </c>
      <c r="F128" s="37"/>
      <c r="G128" s="37"/>
      <c r="H128" s="37"/>
      <c r="I128" s="38"/>
    </row>
    <row r="129" spans="1:16" x14ac:dyDescent="0.25">
      <c r="A129" s="59" t="s">
        <v>53</v>
      </c>
      <c r="B129" s="63">
        <f>+B128/2</f>
        <v>30</v>
      </c>
      <c r="C129" s="39" t="s">
        <v>0</v>
      </c>
      <c r="F129" s="37"/>
      <c r="G129" s="37"/>
      <c r="H129" s="37"/>
      <c r="I129" s="38"/>
    </row>
    <row r="130" spans="1:16" x14ac:dyDescent="0.25">
      <c r="A130" s="59"/>
      <c r="B130" s="37"/>
      <c r="C130" s="37"/>
      <c r="D130" s="59" t="s">
        <v>453</v>
      </c>
      <c r="E130" s="72">
        <v>14</v>
      </c>
      <c r="G130" s="37"/>
      <c r="H130" s="37"/>
      <c r="I130" s="38"/>
    </row>
    <row r="131" spans="1:16" ht="18" x14ac:dyDescent="0.35">
      <c r="A131" s="59" t="s">
        <v>452</v>
      </c>
      <c r="B131" s="43">
        <f>+C18*12/2-C43/2+C12</f>
        <v>30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</row>
    <row r="132" spans="1:16" ht="18" x14ac:dyDescent="0.35">
      <c r="A132" s="59" t="s">
        <v>57</v>
      </c>
      <c r="B132" s="68">
        <f>+C14*E130*C7-C7*0.15*C22*C23*C21/12+C7*0.15*(C43)/12*(C43)/12*C21/12</f>
        <v>1252.9495999999999</v>
      </c>
      <c r="C132" s="39" t="s">
        <v>18</v>
      </c>
      <c r="D132" s="37"/>
      <c r="E132" s="37"/>
      <c r="F132" s="37"/>
      <c r="G132" s="37"/>
      <c r="H132" s="37"/>
      <c r="I132" s="38"/>
    </row>
    <row r="133" spans="1:16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</row>
    <row r="134" spans="1:16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</row>
    <row r="135" spans="1:16" ht="18" x14ac:dyDescent="0.35">
      <c r="A135" s="59" t="s">
        <v>11</v>
      </c>
      <c r="B135" s="61">
        <f>4*(B128+C43)</f>
        <v>312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1096.2562555250383</v>
      </c>
      <c r="P135" s="16" t="s">
        <v>5</v>
      </c>
    </row>
    <row r="136" spans="1:16" ht="18" x14ac:dyDescent="0.35">
      <c r="A136" s="59" t="s">
        <v>2</v>
      </c>
      <c r="B136" s="61">
        <f>4*C43</f>
        <v>72</v>
      </c>
      <c r="C136" s="39" t="s">
        <v>0</v>
      </c>
      <c r="D136" s="37"/>
      <c r="E136" s="37"/>
      <c r="F136" s="37"/>
      <c r="G136" s="37"/>
      <c r="H136" s="37"/>
      <c r="I136" s="38"/>
    </row>
    <row r="137" spans="1:16" x14ac:dyDescent="0.25">
      <c r="A137" s="59" t="s">
        <v>6</v>
      </c>
      <c r="B137" s="61">
        <f>IF(2*B128/B131*(1+B128/C43)&lt;32,2*B128/B131*(1+B128/C43),32)</f>
        <v>17.333333333333336</v>
      </c>
      <c r="C137" s="39"/>
      <c r="D137" s="37" t="s">
        <v>9</v>
      </c>
      <c r="E137" s="37"/>
      <c r="F137" s="37"/>
      <c r="G137" s="37"/>
      <c r="H137" s="37"/>
      <c r="I137" s="38"/>
    </row>
    <row r="138" spans="1:16" ht="18.75" x14ac:dyDescent="0.35">
      <c r="A138" s="59" t="s">
        <v>7</v>
      </c>
      <c r="B138" s="68">
        <f>+B137*(C10*1000)^0.5*B136*B128/1000</f>
        <v>4735.8270238681662</v>
      </c>
      <c r="C138" s="39" t="s">
        <v>18</v>
      </c>
      <c r="D138" s="37" t="s">
        <v>10</v>
      </c>
      <c r="E138" s="37"/>
      <c r="F138" s="37"/>
      <c r="G138" s="37"/>
      <c r="H138" s="37"/>
      <c r="I138" s="38"/>
    </row>
    <row r="139" spans="1:16" ht="18" x14ac:dyDescent="0.35">
      <c r="A139" s="59" t="s">
        <v>12</v>
      </c>
      <c r="B139" s="68">
        <f>+B138*0.75</f>
        <v>3551.8702679011249</v>
      </c>
      <c r="C139" s="39" t="s">
        <v>18</v>
      </c>
      <c r="D139" s="37"/>
      <c r="E139" s="37"/>
      <c r="F139" s="37"/>
      <c r="G139" s="37"/>
      <c r="H139" s="37"/>
      <c r="I139" s="38"/>
    </row>
    <row r="140" spans="1:16" ht="18" x14ac:dyDescent="0.35">
      <c r="A140" s="59" t="s">
        <v>14</v>
      </c>
      <c r="B140" s="63">
        <f>+B132/B139</f>
        <v>0.35275770382807203</v>
      </c>
      <c r="C140" s="37"/>
      <c r="D140" s="37"/>
      <c r="E140" s="37"/>
      <c r="F140" s="37"/>
      <c r="G140" s="37"/>
      <c r="H140" s="37"/>
      <c r="I140" s="38"/>
    </row>
    <row r="141" spans="1:16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16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16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16" x14ac:dyDescent="0.25">
      <c r="A144" s="59" t="s">
        <v>1</v>
      </c>
      <c r="B144" s="40">
        <f>+C21-C15-C16-P21/2</f>
        <v>60.365000000000002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+C18*12/2-C43/2+C12</f>
        <v>30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0.49697672492338274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6*C7*C14-C7*0.15*C22*C23*C21/12*((C22/2-C43/2/12)/C22)</f>
        <v>516.7364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C7*C14*(2*B145)+C7*C14*(2*(B145+C18*12/2))+C7*C14*(2*(B145+C18*12))-C7*0.15*C22*C23*C21/12*((C22/2-C43/2/12)/C22)*(C22/2-C43/2/12)*12/2</f>
        <v>36365.974799999996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147.93351120504033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0.85774664250166077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1.1658454262012035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2.3390341883698382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1518.3511288409927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0.34032733943066373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59.165999999999997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+C18*12/2-C43/2+C12</f>
        <v>30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0.5070479667376534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7*C7*C14-C7*0.15*C22*C23*C21/12*((C23/2-C43/2/12)/C23)</f>
        <v>646.42480000000012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C7*C14*(4*B158)+C7*C14*(3*(B158+C18*12*0.877))-C7*0.15*C22*C23*C21/12*((C23/2-C43/2/12)/C23)*(C23/2-C43/2/12)*12/2</f>
        <v>38105.460364800005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251.81004783975254</v>
      </c>
      <c r="P161" s="16" t="s">
        <v>5</v>
      </c>
    </row>
    <row r="162" spans="1:32" ht="18" x14ac:dyDescent="0.35">
      <c r="A162" s="59" t="s">
        <v>65</v>
      </c>
      <c r="B162" s="61">
        <f>+B160*B157/B161</f>
        <v>1.0036978782214154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0.99631574570231418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3.9814664444479018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2748.7904620948143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0.23516699759914364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60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30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83.672901234567902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80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15079.2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5.2477732387807192</v>
      </c>
      <c r="AF172" s="16" t="s">
        <v>5</v>
      </c>
    </row>
    <row r="173" spans="1:32" ht="18.75" x14ac:dyDescent="0.35">
      <c r="A173" s="34"/>
      <c r="B173" s="40">
        <f>+C66</f>
        <v>31</v>
      </c>
      <c r="C173" s="39" t="s">
        <v>70</v>
      </c>
      <c r="D173" s="72" t="str">
        <f>"#"&amp;+C24</f>
        <v>#9</v>
      </c>
      <c r="E173" s="37" t="s">
        <v>71</v>
      </c>
      <c r="F173" s="37" t="s">
        <v>72</v>
      </c>
      <c r="G173" s="43">
        <f>+C23-0.5</f>
        <v>18.391999999999999</v>
      </c>
      <c r="H173" s="39" t="s">
        <v>73</v>
      </c>
      <c r="I173" s="38"/>
      <c r="Q173" s="16" t="s">
        <v>7</v>
      </c>
      <c r="R173" s="16">
        <f>+R172*T171/1000</f>
        <v>3814.7693834568822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1.3825050000000001</v>
      </c>
      <c r="H174" s="39" t="s">
        <v>73</v>
      </c>
      <c r="I174" s="38"/>
      <c r="Q174" s="16" t="s">
        <v>12</v>
      </c>
      <c r="R174" s="16">
        <f>+R173*0.75</f>
        <v>2861.0770375926618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1938.7397379842796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79.132222222222225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2.7658193464376216E-2</v>
      </c>
    </row>
    <row r="177" spans="1:32" x14ac:dyDescent="0.25">
      <c r="A177" s="34"/>
      <c r="B177" s="40">
        <f>+C84</f>
        <v>24</v>
      </c>
      <c r="C177" s="39" t="s">
        <v>70</v>
      </c>
      <c r="D177" s="72" t="str">
        <f>"#"&amp;+C25</f>
        <v>#10</v>
      </c>
      <c r="E177" s="37" t="s">
        <v>71</v>
      </c>
      <c r="F177" s="37" t="s">
        <v>72</v>
      </c>
      <c r="G177" s="43">
        <f>+C22-0.5</f>
        <v>20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1.5565437500000003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2068.9945179166666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60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30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4007.7342559009462</v>
      </c>
      <c r="D181" s="39" t="s">
        <v>78</v>
      </c>
      <c r="E181" s="37" t="s">
        <v>79</v>
      </c>
      <c r="F181" s="80">
        <f>+C181/2000</f>
        <v>2.0038671279504729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251.32000000000002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23719.200000000004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6.3717251097095255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6000.5357021652662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4500.4017766239494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151.1322222222222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3.3581939951947248E-2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60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30</v>
      </c>
      <c r="U192" s="16" t="s">
        <v>0</v>
      </c>
      <c r="W192" s="51"/>
    </row>
    <row r="193" spans="1:32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92.830000000000013</v>
      </c>
      <c r="U193" s="16" t="s">
        <v>0</v>
      </c>
      <c r="V193" s="51"/>
      <c r="W193" s="51"/>
    </row>
    <row r="194" spans="1:32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5569.8000000000011</v>
      </c>
      <c r="U194" s="16" t="s">
        <v>34</v>
      </c>
    </row>
    <row r="195" spans="1:32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18.300278086984964</v>
      </c>
      <c r="AF195" s="16" t="s">
        <v>5</v>
      </c>
    </row>
    <row r="196" spans="1:32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1409.0603289284672</v>
      </c>
      <c r="S196" s="16" t="s">
        <v>8</v>
      </c>
      <c r="T196" s="16" t="s">
        <v>87</v>
      </c>
    </row>
    <row r="197" spans="1:32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1056.7952466963504</v>
      </c>
      <c r="S197" s="16" t="s">
        <v>8</v>
      </c>
    </row>
    <row r="198" spans="1:32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101.92888888888888</v>
      </c>
      <c r="S198" s="16" t="s">
        <v>8</v>
      </c>
      <c r="T198" s="16" t="s">
        <v>344</v>
      </c>
    </row>
    <row r="199" spans="1:32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9.6450934282235806E-2</v>
      </c>
      <c r="T199" s="16" t="s">
        <v>145</v>
      </c>
      <c r="V199" s="16">
        <f>+(C19*C19+C19*T170+3.1415*T170^2/4/4)/144</f>
        <v>18.622222222222224</v>
      </c>
      <c r="W199" s="16" t="s">
        <v>146</v>
      </c>
    </row>
    <row r="200" spans="1:32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32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32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60</v>
      </c>
      <c r="U202" s="16" t="s">
        <v>0</v>
      </c>
      <c r="V202" s="16" t="s">
        <v>52</v>
      </c>
      <c r="W202" s="51"/>
    </row>
    <row r="203" spans="1:32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32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32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5305.5599999999995</v>
      </c>
      <c r="U205" s="16" t="s">
        <v>34</v>
      </c>
    </row>
    <row r="206" spans="1:32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20.543631185183479</v>
      </c>
      <c r="AF206" s="16" t="s">
        <v>5</v>
      </c>
    </row>
    <row r="207" spans="1:32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671.1061545073178</v>
      </c>
      <c r="S207" s="16" t="s">
        <v>8</v>
      </c>
      <c r="T207" s="16" t="s">
        <v>93</v>
      </c>
    </row>
    <row r="208" spans="1:32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Q208" s="16" t="s">
        <v>12</v>
      </c>
      <c r="R208" s="16">
        <f>+R207*0.75</f>
        <v>503.32961588048835</v>
      </c>
      <c r="S208" s="16" t="s">
        <v>8</v>
      </c>
    </row>
    <row r="209" spans="1:20" ht="18" x14ac:dyDescent="0.35">
      <c r="Q209" s="16" t="s">
        <v>57</v>
      </c>
      <c r="R209" s="16">
        <f>C7*C14-C7*(T204*0.7071/12*T204*0.7071/2/12)*C21/12*0.15</f>
        <v>108.99546787086206</v>
      </c>
      <c r="S209" s="16" t="s">
        <v>8</v>
      </c>
      <c r="T209" s="16" t="s">
        <v>344</v>
      </c>
    </row>
    <row r="210" spans="1:20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Q210" s="16" t="s">
        <v>14</v>
      </c>
      <c r="R210" s="16">
        <f>+R209/R208</f>
        <v>0.2165488865188139</v>
      </c>
    </row>
    <row r="211" spans="1:20" x14ac:dyDescent="0.25">
      <c r="A211" s="37"/>
      <c r="B211" s="37"/>
      <c r="C211" s="37"/>
      <c r="D211" s="37"/>
      <c r="E211" s="37"/>
      <c r="F211" s="37"/>
      <c r="G211" s="37"/>
      <c r="H211" s="37"/>
      <c r="I211" s="37"/>
    </row>
    <row r="212" spans="1:20" x14ac:dyDescent="0.25">
      <c r="A212" s="37"/>
      <c r="B212" s="37"/>
      <c r="C212" s="37"/>
      <c r="D212" s="37"/>
      <c r="E212" s="37"/>
      <c r="F212" s="37"/>
      <c r="G212" s="37"/>
      <c r="H212" s="37"/>
      <c r="I212" s="37"/>
    </row>
    <row r="213" spans="1:20" x14ac:dyDescent="0.25">
      <c r="A213" s="37"/>
      <c r="B213" s="37"/>
      <c r="C213" s="37"/>
      <c r="D213" s="37"/>
      <c r="E213" s="37"/>
      <c r="F213" s="37"/>
      <c r="G213" s="37"/>
      <c r="H213" s="37"/>
      <c r="I213" s="37"/>
    </row>
    <row r="214" spans="1:20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20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20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20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20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19" spans="1:20" x14ac:dyDescent="0.25">
      <c r="A219" s="37"/>
      <c r="B219" s="37"/>
      <c r="C219" s="37"/>
      <c r="D219" s="37"/>
      <c r="E219" s="37"/>
      <c r="F219" s="37"/>
      <c r="G219" s="37"/>
      <c r="H219" s="37"/>
      <c r="I219" s="37"/>
    </row>
    <row r="220" spans="1:20" x14ac:dyDescent="0.25">
      <c r="A220" s="37"/>
      <c r="B220" s="37"/>
      <c r="C220" s="37"/>
      <c r="D220" s="37"/>
      <c r="E220" s="37"/>
      <c r="F220" s="37"/>
      <c r="G220" s="37"/>
      <c r="H220" s="37"/>
      <c r="I220" s="37"/>
    </row>
    <row r="221" spans="1:20" x14ac:dyDescent="0.25">
      <c r="A221" s="37"/>
      <c r="B221" s="37"/>
      <c r="C221" s="37"/>
      <c r="D221" s="37"/>
      <c r="E221" s="37"/>
      <c r="F221" s="37"/>
      <c r="G221" s="37"/>
      <c r="H221" s="37"/>
      <c r="I221" s="37"/>
    </row>
    <row r="222" spans="1:20" x14ac:dyDescent="0.25">
      <c r="A222" s="37"/>
      <c r="B222" s="37"/>
      <c r="C222" s="37"/>
      <c r="D222" s="37"/>
      <c r="E222" s="37"/>
      <c r="F222" s="37"/>
      <c r="G222" s="37"/>
      <c r="H222" s="37"/>
      <c r="I222" s="37"/>
    </row>
    <row r="223" spans="1:20" x14ac:dyDescent="0.25">
      <c r="A223" s="37"/>
      <c r="B223" s="37"/>
      <c r="C223" s="37"/>
      <c r="D223" s="37"/>
      <c r="E223" s="37"/>
      <c r="F223" s="37"/>
      <c r="G223" s="37"/>
      <c r="H223" s="37"/>
      <c r="I223" s="37"/>
    </row>
    <row r="224" spans="1:20" x14ac:dyDescent="0.25">
      <c r="A224" s="37"/>
      <c r="B224" s="37"/>
      <c r="C224" s="37"/>
      <c r="D224" s="37"/>
      <c r="E224" s="37"/>
      <c r="F224" s="37"/>
      <c r="G224" s="37"/>
      <c r="H224" s="37"/>
      <c r="I224" s="37"/>
    </row>
    <row r="225" spans="1:9" x14ac:dyDescent="0.25">
      <c r="A225" s="37"/>
      <c r="B225" s="37"/>
      <c r="C225" s="37"/>
      <c r="D225" s="37"/>
      <c r="E225" s="37"/>
      <c r="F225" s="37"/>
      <c r="G225" s="37"/>
      <c r="H225" s="37"/>
      <c r="I225" s="37"/>
    </row>
    <row r="226" spans="1:9" x14ac:dyDescent="0.25">
      <c r="A226" s="37"/>
      <c r="B226" s="37"/>
      <c r="C226" s="37"/>
      <c r="D226" s="37"/>
      <c r="E226" s="37"/>
      <c r="F226" s="37"/>
      <c r="G226" s="37"/>
      <c r="H226" s="37"/>
      <c r="I226" s="37"/>
    </row>
    <row r="227" spans="1:9" x14ac:dyDescent="0.25">
      <c r="A227" s="37"/>
      <c r="B227" s="37"/>
      <c r="C227" s="37"/>
      <c r="D227" s="37"/>
      <c r="E227" s="37"/>
      <c r="F227" s="37"/>
      <c r="G227" s="37"/>
      <c r="H227" s="37"/>
      <c r="I227" s="37"/>
    </row>
    <row r="228" spans="1:9" x14ac:dyDescent="0.25">
      <c r="A228" s="37"/>
      <c r="B228" s="37"/>
      <c r="C228" s="37"/>
      <c r="D228" s="37"/>
      <c r="E228" s="37"/>
      <c r="F228" s="37"/>
      <c r="G228" s="37"/>
      <c r="H228" s="37"/>
      <c r="I228" s="37"/>
    </row>
    <row r="229" spans="1:9" x14ac:dyDescent="0.25">
      <c r="A229" s="37"/>
      <c r="B229" s="37"/>
      <c r="C229" s="37"/>
      <c r="D229" s="37"/>
      <c r="E229" s="37"/>
      <c r="F229" s="37"/>
      <c r="G229" s="37"/>
      <c r="H229" s="37"/>
      <c r="I229" s="37"/>
    </row>
    <row r="230" spans="1:9" x14ac:dyDescent="0.25">
      <c r="A230" s="37"/>
      <c r="B230" s="37"/>
      <c r="C230" s="37"/>
      <c r="D230" s="37"/>
      <c r="E230" s="37"/>
      <c r="F230" s="37"/>
      <c r="G230" s="37"/>
      <c r="H230" s="37"/>
      <c r="I230" s="37"/>
    </row>
    <row r="231" spans="1:9" x14ac:dyDescent="0.25">
      <c r="A231" s="37"/>
      <c r="B231" s="37"/>
      <c r="C231" s="37"/>
      <c r="D231" s="37"/>
      <c r="E231" s="37"/>
      <c r="F231" s="37"/>
      <c r="G231" s="37"/>
      <c r="H231" s="37"/>
      <c r="I231" s="37"/>
    </row>
    <row r="232" spans="1:9" x14ac:dyDescent="0.25">
      <c r="A232" s="37"/>
      <c r="B232" s="37"/>
      <c r="C232" s="37"/>
      <c r="D232" s="37"/>
      <c r="E232" s="37"/>
      <c r="F232" s="37"/>
      <c r="G232" s="37"/>
      <c r="H232" s="37"/>
      <c r="I232" s="37"/>
    </row>
    <row r="233" spans="1:9" x14ac:dyDescent="0.25">
      <c r="A233" s="37"/>
      <c r="B233" s="37"/>
      <c r="C233" s="37"/>
      <c r="D233" s="37"/>
      <c r="E233" s="37"/>
      <c r="F233" s="37"/>
      <c r="G233" s="37"/>
      <c r="H233" s="37"/>
      <c r="I233" s="37"/>
    </row>
    <row r="234" spans="1:9" x14ac:dyDescent="0.25">
      <c r="A234" s="37"/>
      <c r="B234" s="37"/>
      <c r="C234" s="37"/>
      <c r="D234" s="37"/>
      <c r="E234" s="37"/>
      <c r="F234" s="37"/>
      <c r="G234" s="37"/>
      <c r="H234" s="37"/>
      <c r="I234" s="37"/>
    </row>
    <row r="235" spans="1:9" x14ac:dyDescent="0.25">
      <c r="A235" s="37"/>
      <c r="B235" s="37"/>
      <c r="C235" s="37"/>
      <c r="D235" s="37"/>
      <c r="E235" s="37"/>
      <c r="F235" s="37"/>
      <c r="G235" s="37"/>
      <c r="H235" s="37"/>
      <c r="I235" s="37"/>
    </row>
    <row r="236" spans="1:9" x14ac:dyDescent="0.25">
      <c r="A236" s="37"/>
      <c r="B236" s="37"/>
      <c r="C236" s="37"/>
      <c r="D236" s="37"/>
      <c r="E236" s="37"/>
      <c r="F236" s="37"/>
      <c r="G236" s="37"/>
      <c r="H236" s="37"/>
      <c r="I236" s="37"/>
    </row>
    <row r="237" spans="1:9" x14ac:dyDescent="0.25">
      <c r="A237" s="37"/>
      <c r="B237" s="37"/>
      <c r="C237" s="37"/>
      <c r="D237" s="37"/>
      <c r="E237" s="37"/>
      <c r="F237" s="37"/>
      <c r="G237" s="37"/>
      <c r="H237" s="37"/>
      <c r="I237" s="37"/>
    </row>
    <row r="238" spans="1:9" x14ac:dyDescent="0.25">
      <c r="A238" s="37"/>
      <c r="B238" s="37"/>
      <c r="C238" s="37"/>
      <c r="D238" s="37"/>
      <c r="E238" s="37"/>
      <c r="F238" s="37"/>
      <c r="G238" s="37"/>
      <c r="H238" s="37"/>
      <c r="I238" s="37"/>
    </row>
    <row r="239" spans="1:9" x14ac:dyDescent="0.25">
      <c r="A239" s="37"/>
      <c r="B239" s="37"/>
      <c r="C239" s="37"/>
      <c r="D239" s="37"/>
      <c r="E239" s="37"/>
      <c r="F239" s="37"/>
      <c r="G239" s="37"/>
      <c r="H239" s="37"/>
      <c r="I239" s="37"/>
    </row>
    <row r="240" spans="1:9" x14ac:dyDescent="0.25">
      <c r="A240" s="37"/>
      <c r="B240" s="37"/>
      <c r="C240" s="37"/>
      <c r="D240" s="37"/>
      <c r="E240" s="37"/>
      <c r="F240" s="37"/>
      <c r="G240" s="37"/>
      <c r="H240" s="37"/>
      <c r="I240" s="37"/>
    </row>
    <row r="241" spans="1:9" x14ac:dyDescent="0.25">
      <c r="A241" s="37"/>
      <c r="B241" s="37"/>
      <c r="C241" s="37"/>
      <c r="D241" s="37"/>
      <c r="E241" s="37"/>
      <c r="F241" s="37"/>
      <c r="G241" s="37"/>
      <c r="H241" s="37"/>
      <c r="I241" s="37"/>
    </row>
    <row r="242" spans="1:9" x14ac:dyDescent="0.25">
      <c r="A242" s="37"/>
      <c r="B242" s="37"/>
      <c r="C242" s="37"/>
      <c r="D242" s="37"/>
      <c r="E242" s="37"/>
      <c r="F242" s="37"/>
      <c r="G242" s="37"/>
      <c r="H242" s="37"/>
      <c r="I242" s="37"/>
    </row>
    <row r="243" spans="1:9" x14ac:dyDescent="0.25">
      <c r="A243" s="37"/>
      <c r="B243" s="37"/>
      <c r="C243" s="37"/>
      <c r="D243" s="37"/>
      <c r="E243" s="37"/>
      <c r="F243" s="37"/>
      <c r="G243" s="37"/>
      <c r="H243" s="37"/>
      <c r="I243" s="37"/>
    </row>
    <row r="244" spans="1:9" x14ac:dyDescent="0.25">
      <c r="A244" s="37"/>
      <c r="B244" s="37"/>
      <c r="C244" s="37"/>
      <c r="D244" s="37"/>
      <c r="E244" s="37"/>
      <c r="F244" s="37"/>
      <c r="G244" s="37"/>
      <c r="H244" s="37"/>
      <c r="I244" s="37"/>
    </row>
    <row r="245" spans="1:9" x14ac:dyDescent="0.25">
      <c r="A245" s="37"/>
      <c r="B245" s="37"/>
      <c r="C245" s="37"/>
      <c r="D245" s="37"/>
      <c r="E245" s="37"/>
      <c r="F245" s="37"/>
      <c r="G245" s="37"/>
      <c r="H245" s="37"/>
      <c r="I245" s="37"/>
    </row>
    <row r="246" spans="1:9" x14ac:dyDescent="0.25">
      <c r="A246" s="37"/>
      <c r="B246" s="37"/>
      <c r="C246" s="37"/>
      <c r="D246" s="37"/>
      <c r="E246" s="37"/>
      <c r="F246" s="37"/>
      <c r="G246" s="37"/>
      <c r="H246" s="37"/>
      <c r="I246" s="37"/>
    </row>
    <row r="247" spans="1:9" x14ac:dyDescent="0.25">
      <c r="A247" s="37"/>
      <c r="B247" s="37"/>
      <c r="C247" s="37"/>
      <c r="D247" s="37"/>
      <c r="E247" s="37"/>
      <c r="F247" s="37"/>
      <c r="G247" s="37"/>
      <c r="H247" s="37"/>
      <c r="I247" s="37"/>
    </row>
    <row r="248" spans="1:9" x14ac:dyDescent="0.25">
      <c r="A248" s="37"/>
      <c r="B248" s="37"/>
      <c r="C248" s="37"/>
      <c r="D248" s="37"/>
      <c r="E248" s="37"/>
      <c r="F248" s="37"/>
      <c r="G248" s="37"/>
      <c r="H248" s="37"/>
      <c r="I248" s="37"/>
    </row>
    <row r="249" spans="1:9" x14ac:dyDescent="0.25">
      <c r="A249" s="37"/>
      <c r="B249" s="37"/>
      <c r="C249" s="37"/>
      <c r="D249" s="37"/>
      <c r="E249" s="37"/>
      <c r="F249" s="37"/>
      <c r="G249" s="37"/>
      <c r="H249" s="37"/>
      <c r="I249" s="37"/>
    </row>
    <row r="250" spans="1:9" x14ac:dyDescent="0.25">
      <c r="A250" s="37"/>
      <c r="B250" s="37"/>
      <c r="C250" s="37"/>
      <c r="D250" s="37"/>
      <c r="E250" s="37"/>
      <c r="F250" s="37"/>
      <c r="G250" s="37"/>
      <c r="H250" s="37"/>
      <c r="I250" s="37"/>
    </row>
    <row r="251" spans="1:9" x14ac:dyDescent="0.25">
      <c r="A251" s="37"/>
      <c r="B251" s="37"/>
      <c r="C251" s="37"/>
      <c r="D251" s="37"/>
      <c r="E251" s="37"/>
      <c r="F251" s="37"/>
      <c r="G251" s="37"/>
      <c r="H251" s="37"/>
      <c r="I251" s="37"/>
    </row>
    <row r="252" spans="1:9" x14ac:dyDescent="0.25">
      <c r="A252" s="37"/>
      <c r="B252" s="37"/>
      <c r="C252" s="37"/>
      <c r="D252" s="37"/>
      <c r="E252" s="37"/>
      <c r="F252" s="37"/>
      <c r="G252" s="37"/>
      <c r="H252" s="37"/>
      <c r="I252" s="37"/>
    </row>
    <row r="253" spans="1:9" x14ac:dyDescent="0.25">
      <c r="A253" s="37"/>
      <c r="B253" s="37"/>
      <c r="C253" s="37"/>
      <c r="D253" s="37"/>
      <c r="E253" s="37"/>
      <c r="F253" s="37"/>
      <c r="G253" s="37"/>
      <c r="H253" s="37"/>
      <c r="I253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16383" man="1"/>
    <brk id="85" max="16383" man="1"/>
    <brk id="126" max="16383" man="1"/>
    <brk id="167" max="16383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255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21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21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21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20.737575</v>
      </c>
    </row>
    <row r="20" spans="1:21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6" t="s">
        <v>258</v>
      </c>
      <c r="F20" s="43">
        <f>+C22-2*U26</f>
        <v>11.063007999999998</v>
      </c>
      <c r="G20" s="39" t="s">
        <v>394</v>
      </c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21" ht="18" x14ac:dyDescent="0.35">
      <c r="A21" s="34"/>
      <c r="B21" s="36" t="s">
        <v>397</v>
      </c>
      <c r="C21" s="84">
        <v>48</v>
      </c>
      <c r="D21" s="39" t="s">
        <v>0</v>
      </c>
      <c r="E21" s="36" t="s">
        <v>259</v>
      </c>
      <c r="F21" s="63">
        <f>2*S27</f>
        <v>13.443999999999999</v>
      </c>
      <c r="G21" s="39" t="s">
        <v>394</v>
      </c>
      <c r="H21" s="37"/>
      <c r="I21" s="38"/>
      <c r="J21" s="16" t="s">
        <v>33</v>
      </c>
      <c r="L21" s="16">
        <f>+IF(C24&lt;9,(C24/8),IF(C24=9,1.128,IF(C24=10,1.27,IF(C24=11,1.41,IF(C24=14,1.693,0)))))</f>
        <v>1.41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21" ht="17.25" x14ac:dyDescent="0.25">
      <c r="A22" s="34"/>
      <c r="B22" s="36" t="s">
        <v>398</v>
      </c>
      <c r="C22" s="121">
        <f>2*C19/12+4*C18*0.866</f>
        <v>23.283999999999999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1.5614040375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21" x14ac:dyDescent="0.25">
      <c r="A23" s="34"/>
      <c r="B23" s="36" t="s">
        <v>399</v>
      </c>
      <c r="C23" s="122">
        <f>2*C19/12+3*C18</f>
        <v>20.5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21" x14ac:dyDescent="0.25">
      <c r="A24" s="34"/>
      <c r="B24" s="36" t="s">
        <v>400</v>
      </c>
      <c r="C24" s="81">
        <v>11</v>
      </c>
      <c r="D24" s="39"/>
      <c r="E24" s="37"/>
      <c r="F24" s="37"/>
      <c r="G24" s="37"/>
      <c r="H24" s="37"/>
      <c r="I24" s="38"/>
    </row>
    <row r="25" spans="1:21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21" ht="18" x14ac:dyDescent="0.35">
      <c r="A26" s="34"/>
      <c r="B26" s="36" t="s">
        <v>402</v>
      </c>
      <c r="C26" s="123">
        <f>+C21-C15-C16-P21-0.5*L21</f>
        <v>36.885000000000005</v>
      </c>
      <c r="D26" s="39" t="s">
        <v>0</v>
      </c>
      <c r="E26" s="37"/>
      <c r="F26" s="37"/>
      <c r="G26" s="37"/>
      <c r="H26" s="37"/>
      <c r="I26" s="38"/>
      <c r="O26" s="113"/>
      <c r="P26" s="113" t="s">
        <v>256</v>
      </c>
      <c r="Q26" s="113">
        <f>+C22/2</f>
        <v>11.641999999999999</v>
      </c>
      <c r="R26" s="113" t="s">
        <v>260</v>
      </c>
      <c r="S26" s="113">
        <f>+Q26</f>
        <v>11.641999999999999</v>
      </c>
      <c r="T26" s="113" t="s">
        <v>263</v>
      </c>
      <c r="U26" s="113">
        <f>+U27*2*0.866</f>
        <v>6.1104960000000004</v>
      </c>
    </row>
    <row r="27" spans="1:21" ht="18" x14ac:dyDescent="0.35">
      <c r="A27" s="34"/>
      <c r="B27" s="36" t="s">
        <v>403</v>
      </c>
      <c r="C27" s="61">
        <f>+C21-C15-C16-P21/2</f>
        <v>38.295000000000002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  <c r="O27" s="113"/>
      <c r="P27" s="113" t="s">
        <v>257</v>
      </c>
      <c r="Q27" s="113">
        <f>+C18-0.5774*C19/12</f>
        <v>5.2782499999999999</v>
      </c>
      <c r="R27" s="113" t="s">
        <v>261</v>
      </c>
      <c r="S27" s="113">
        <f>+Q27+1.155*C19/12</f>
        <v>6.7219999999999995</v>
      </c>
      <c r="T27" s="113" t="s">
        <v>262</v>
      </c>
      <c r="U27" s="113">
        <f>+(C23-F21)/2</f>
        <v>3.5280000000000005</v>
      </c>
    </row>
    <row r="28" spans="1:21" ht="18" x14ac:dyDescent="0.35">
      <c r="A28" s="34"/>
      <c r="B28" s="36" t="s">
        <v>404</v>
      </c>
      <c r="C28" s="45">
        <f>+C21-C15-C16-1</f>
        <v>38</v>
      </c>
      <c r="D28" s="39" t="s">
        <v>0</v>
      </c>
      <c r="E28" s="37"/>
      <c r="F28" s="37"/>
      <c r="G28" s="37"/>
      <c r="H28" s="37"/>
      <c r="I28" s="38"/>
      <c r="O28" s="113"/>
      <c r="P28" s="113"/>
      <c r="Q28" s="113"/>
      <c r="R28" s="113"/>
      <c r="S28" s="113"/>
      <c r="T28" s="113"/>
      <c r="U28" s="113"/>
    </row>
    <row r="29" spans="1:21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M29" s="16">
        <f>+IF(C9="Round",C17,L27)</f>
        <v>20</v>
      </c>
    </row>
    <row r="30" spans="1:21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21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21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38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19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58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6923.8660000000009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+IF(B131&gt;B129,"NA",IF(G140&lt;1,"OK","NG"))</f>
        <v>NA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15.942922157457504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">
        <v>227</v>
      </c>
      <c r="I37" s="38"/>
      <c r="J37" s="16" t="s">
        <v>7</v>
      </c>
      <c r="K37" s="16">
        <f>+K36*M35/1000</f>
        <v>1751.6149419039518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1313.7112064279638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110.38665666666667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8.4026577627218879E-2</v>
      </c>
    </row>
    <row r="41" spans="1:25" ht="18" x14ac:dyDescent="0.35">
      <c r="A41" s="34"/>
      <c r="B41" s="59" t="s">
        <v>22</v>
      </c>
      <c r="C41" s="60">
        <f>C7*15*C14-C7*C22*C23*C21/12*0.15+C7*2*U26*U27*C21/12*0.15</f>
        <v>1503.1619133849601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19.385316049686683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20</v>
      </c>
      <c r="D43" s="39" t="s">
        <v>0</v>
      </c>
      <c r="E43" s="115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C7*C14*(2*(0.5*C18*12+C12-C43/4))+C7*C14*(3*(1*C18*12+C12-C43/4))+C7*C14*(2*(1.5*C18*12+C12-C43/4))-C7*(C23/2-C43/12/4)*C22*C21/12*0.15*(C23/2-C43/12/4)*12/2+C7*U26*U27*C21/12*0.15*(C23*12/2-U27*12/3)</f>
        <v>52005.236781610765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2233.5181576022492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36.885000000000005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1.1596798519357137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27.001985672471154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36.002647563294872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32.590319976681762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34.353213600000011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34.353213600000011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24.1408512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34.353213600000011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1.1358048780487804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16.999874999999999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0.93641512881417865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3.7050000000000001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28.718903453216623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3.7050000000000001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34.353213600000011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3.7050000000000001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40.129303507536733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110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22.001488900338526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17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40.129303507536733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110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C7*C14*(4*(0.866*C18*12+C12-C43/4))+C7*C14*(2*(2*0.866*C18*12+C12-C43/4))-C7*(C22/2-C43/12/4)*C23*C21/12*0.15*(C22/2-C43/12/4)*12/2+C7*U26*U27*C21/12*0.15*(C22*12/2-U26*12/3)</f>
        <v>49818.817531016895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2430.1862210252143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38.295000000000002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11.361428571428572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1.2155007498426187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24.917765371773683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33.223687162364911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29.79045805705243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31.401900000000001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31.401900000000001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21.2544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31.401900000000001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126.70400000000001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126.70400000000001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20.111322403314844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22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29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38</v>
      </c>
      <c r="C87" s="39" t="s">
        <v>0</v>
      </c>
      <c r="D87" s="37"/>
      <c r="E87" s="37"/>
      <c r="F87" s="37"/>
      <c r="G87" s="70"/>
      <c r="H87" s="37"/>
      <c r="I87" s="38"/>
      <c r="J87" s="16" t="s">
        <v>238</v>
      </c>
      <c r="K87" s="51"/>
      <c r="L87" s="51"/>
      <c r="M87" s="51"/>
      <c r="N87" s="51"/>
      <c r="O87" s="51">
        <f>+C18*12*0.5+C12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19</v>
      </c>
      <c r="C88" s="39" t="s">
        <v>0</v>
      </c>
      <c r="D88" s="37"/>
      <c r="E88" s="37"/>
      <c r="F88" s="37"/>
      <c r="G88" s="70"/>
      <c r="H88" s="37"/>
      <c r="I88" s="38"/>
      <c r="J88" s="16" t="s">
        <v>249</v>
      </c>
      <c r="K88" s="51"/>
      <c r="L88" s="51"/>
      <c r="M88" s="51"/>
      <c r="N88" s="51"/>
      <c r="O88" s="51">
        <f>+C18*12+C12</f>
        <v>75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+IF(M86&gt;O91,0,IF(M86&gt;O89,4,IF(M86&gt;O88,8,IF(M86&gt;O90,10,14))))</f>
        <v>14</v>
      </c>
      <c r="F89" s="37"/>
      <c r="G89" s="37"/>
      <c r="H89" s="37"/>
      <c r="I89" s="38"/>
      <c r="J89" s="16" t="s">
        <v>264</v>
      </c>
      <c r="K89" s="51"/>
      <c r="L89" s="51"/>
      <c r="M89" s="51"/>
      <c r="N89" s="51"/>
      <c r="O89" s="51">
        <f>1.5*C18*12+C12</f>
        <v>111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239</v>
      </c>
      <c r="K90" s="51"/>
      <c r="L90" s="51"/>
      <c r="M90" s="51"/>
      <c r="N90" s="51"/>
      <c r="O90" s="51">
        <f>+C18*12*0.866+C12</f>
        <v>65.352000000000004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232</v>
      </c>
      <c r="C91" s="39" t="s">
        <v>0</v>
      </c>
      <c r="D91" s="37"/>
      <c r="E91" s="37"/>
      <c r="F91" s="37"/>
      <c r="G91" s="37"/>
      <c r="H91" s="37"/>
      <c r="I91" s="38"/>
      <c r="J91" s="16" t="s">
        <v>240</v>
      </c>
      <c r="K91" s="51"/>
      <c r="L91" s="51"/>
      <c r="M91" s="51"/>
      <c r="N91" s="51"/>
      <c r="O91" s="51">
        <f>+C18*12*2*0.866+C12</f>
        <v>127.70399999999999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2230.2911881635541</v>
      </c>
      <c r="C92" s="39" t="s">
        <v>18</v>
      </c>
      <c r="D92" s="37" t="s">
        <v>15</v>
      </c>
      <c r="E92" s="37"/>
      <c r="F92" s="37"/>
      <c r="G92" s="37"/>
      <c r="H92" s="37"/>
      <c r="I92" s="38"/>
      <c r="L92" s="16" t="s">
        <v>83</v>
      </c>
      <c r="O92" s="16">
        <f>+B90</f>
        <v>252.98221281347034</v>
      </c>
      <c r="P92" s="16" t="s">
        <v>5</v>
      </c>
    </row>
    <row r="93" spans="1:17" ht="18" x14ac:dyDescent="0.35">
      <c r="A93" s="59" t="s">
        <v>12</v>
      </c>
      <c r="B93" s="68">
        <f>+B92*0.75</f>
        <v>1672.7183911226657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+E89*C7*C14-C7*0.15*C22*C23*C21/12+C7*0.15*(2*M86)/12*(2*M86)/12*C21/12+C7*2*U26*U27*C21/12*0.15</f>
        <v>1397.5885800516271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0.83551934830681107</v>
      </c>
      <c r="C95" s="37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48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38</v>
      </c>
      <c r="C99" s="39" t="s">
        <v>0</v>
      </c>
      <c r="D99" s="37"/>
      <c r="E99" s="37"/>
      <c r="F99" s="37"/>
      <c r="G99" s="37"/>
      <c r="H99" s="37"/>
      <c r="I99" s="38"/>
      <c r="J99" s="16" t="s">
        <v>242</v>
      </c>
      <c r="K99" s="51"/>
      <c r="L99" s="51"/>
      <c r="M99" s="51"/>
      <c r="N99" s="51"/>
      <c r="O99" s="51">
        <f>0.866*C18*12+C12</f>
        <v>65.352000000000004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+IF(M98&gt;O100,0,IF(M98&gt;O99,2,6))</f>
        <v>6</v>
      </c>
      <c r="F100" s="37"/>
      <c r="G100" s="37"/>
      <c r="H100" s="37"/>
      <c r="I100" s="38"/>
      <c r="J100" s="16" t="s">
        <v>243</v>
      </c>
      <c r="K100" s="51"/>
      <c r="L100" s="51"/>
      <c r="M100" s="51"/>
      <c r="N100" s="51"/>
      <c r="O100" s="51">
        <f>2*0.866*C18*12+C12</f>
        <v>127.70399999999999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K101" s="51"/>
      <c r="L101" s="51"/>
      <c r="M101" s="51"/>
      <c r="N101" s="51"/>
      <c r="O101" s="51"/>
    </row>
    <row r="102" spans="1:17" x14ac:dyDescent="0.25">
      <c r="A102" s="59" t="s">
        <v>61</v>
      </c>
      <c r="B102" s="68">
        <f>+M105*12*B99</f>
        <v>9348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1182.4388626901602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886.82914701762024</v>
      </c>
      <c r="C104" s="39" t="s">
        <v>18</v>
      </c>
      <c r="D104" s="37"/>
      <c r="E104" s="37"/>
      <c r="F104" s="37"/>
      <c r="G104" s="37"/>
      <c r="H104" s="37"/>
      <c r="I104" s="38"/>
      <c r="L104" s="16" t="s">
        <v>268</v>
      </c>
      <c r="M104" s="16">
        <f>+C23</f>
        <v>20.5</v>
      </c>
    </row>
    <row r="105" spans="1:17" ht="18" x14ac:dyDescent="0.35">
      <c r="A105" s="59" t="s">
        <v>57</v>
      </c>
      <c r="B105" s="68">
        <f>+E100*C14*C7-C7*0.15*C22*C23*C21/12*((C22/2-M98/12)/C22)+C7*U26*U27*C21/12*0.15</f>
        <v>638.3009566924801</v>
      </c>
      <c r="C105" s="39" t="s">
        <v>18</v>
      </c>
      <c r="D105" s="37" t="s">
        <v>131</v>
      </c>
      <c r="E105" s="37"/>
      <c r="F105" s="37"/>
      <c r="G105" s="37"/>
      <c r="H105" s="37"/>
      <c r="I105" s="38"/>
      <c r="L105" s="16" t="s">
        <v>267</v>
      </c>
      <c r="M105" s="16">
        <f>+IF(M98/12&lt;F20/2,C23,C23-2*(M98/12-F20/2)/0.866*0.5)</f>
        <v>20.5</v>
      </c>
    </row>
    <row r="106" spans="1:17" ht="18" x14ac:dyDescent="0.35">
      <c r="A106" s="59" t="s">
        <v>14</v>
      </c>
      <c r="B106" s="63">
        <f>+B105/B104</f>
        <v>0.71975640272883112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48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38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250</v>
      </c>
      <c r="K110" s="51"/>
      <c r="L110" s="51"/>
      <c r="M110" s="51"/>
      <c r="N110" s="51"/>
      <c r="O110" s="51">
        <f>0.5*C18*12+C12</f>
        <v>39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+IF(M109&gt;O112,0,IF(M109&gt;O111,2,IF(M109&gt;O110,5,7)))</f>
        <v>5</v>
      </c>
      <c r="F111" s="37"/>
      <c r="G111" s="37"/>
      <c r="H111" s="37"/>
      <c r="I111" s="38"/>
      <c r="J111" s="16" t="s">
        <v>251</v>
      </c>
      <c r="K111" s="51"/>
      <c r="L111" s="51"/>
      <c r="M111" s="51"/>
      <c r="N111" s="51"/>
      <c r="O111" s="51">
        <f>C18*12+C12</f>
        <v>75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J112" s="16" t="s">
        <v>265</v>
      </c>
      <c r="K112" s="51"/>
      <c r="L112" s="51"/>
      <c r="M112" s="51"/>
      <c r="N112" s="51"/>
      <c r="O112" s="51">
        <f>1.5*C18*12+C12</f>
        <v>111</v>
      </c>
      <c r="P112" s="16" t="s">
        <v>0</v>
      </c>
      <c r="Q112" s="16" t="s">
        <v>119</v>
      </c>
    </row>
    <row r="113" spans="1:23" x14ac:dyDescent="0.25">
      <c r="A113" s="59" t="s">
        <v>61</v>
      </c>
      <c r="B113" s="68">
        <f>+M116*12*B110</f>
        <v>10617.504000000001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1343.0198282379363</v>
      </c>
      <c r="C114" s="39" t="s">
        <v>18</v>
      </c>
      <c r="D114" s="37" t="s">
        <v>62</v>
      </c>
      <c r="E114" s="37"/>
      <c r="F114" s="37"/>
      <c r="G114" s="37"/>
      <c r="H114" s="37"/>
      <c r="I114" s="38"/>
      <c r="L114" s="16" t="s">
        <v>83</v>
      </c>
      <c r="O114" s="16">
        <f>+B112</f>
        <v>126.49110640673517</v>
      </c>
      <c r="P114" s="16" t="s">
        <v>5</v>
      </c>
    </row>
    <row r="115" spans="1:23" ht="18" x14ac:dyDescent="0.35">
      <c r="A115" s="59" t="s">
        <v>12</v>
      </c>
      <c r="B115" s="68">
        <f>+B114*0.75</f>
        <v>1007.2648711784523</v>
      </c>
      <c r="C115" s="39" t="s">
        <v>18</v>
      </c>
      <c r="D115" s="37"/>
      <c r="E115" s="37"/>
      <c r="F115" s="37"/>
      <c r="G115" s="37"/>
      <c r="H115" s="37"/>
      <c r="I115" s="38"/>
      <c r="L115" s="16" t="s">
        <v>268</v>
      </c>
      <c r="M115" s="16">
        <f>+C22</f>
        <v>23.283999999999999</v>
      </c>
    </row>
    <row r="116" spans="1:23" ht="18" x14ac:dyDescent="0.35">
      <c r="A116" s="59" t="s">
        <v>57</v>
      </c>
      <c r="B116" s="68">
        <f>+E111*C14*C7-C7*0.15*C22*C23*C21/12*((C23/2-M109/12)/C23)+C7*U26*U27*C21/12*0.15</f>
        <v>520.9915166924801</v>
      </c>
      <c r="C116" s="39" t="s">
        <v>18</v>
      </c>
      <c r="D116" s="37" t="s">
        <v>131</v>
      </c>
      <c r="E116" s="37"/>
      <c r="F116" s="37"/>
      <c r="G116" s="37"/>
      <c r="H116" s="37"/>
      <c r="I116" s="38"/>
      <c r="L116" s="16" t="s">
        <v>267</v>
      </c>
      <c r="M116" s="16">
        <f>+IF(M109/12&lt;F21/2,C22,C22-2*(M109/12-F21/2)/0.5*0.866)</f>
        <v>23.283999999999999</v>
      </c>
    </row>
    <row r="117" spans="1:23" ht="18" x14ac:dyDescent="0.35">
      <c r="A117" s="59" t="s">
        <v>14</v>
      </c>
      <c r="B117" s="63">
        <f>+B116/B115</f>
        <v>0.51723387919102615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42.176000000000002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1336.4375466666668</v>
      </c>
      <c r="W127" s="37" t="s">
        <v>8</v>
      </c>
    </row>
    <row r="128" spans="1:23" ht="18.75" x14ac:dyDescent="0.35">
      <c r="A128" s="59" t="s">
        <v>1</v>
      </c>
      <c r="B128" s="43">
        <f>+B87</f>
        <v>38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19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14</v>
      </c>
      <c r="G130" s="37"/>
      <c r="H130" s="37"/>
      <c r="I130" s="38"/>
      <c r="Q130" s="37" t="s">
        <v>16</v>
      </c>
      <c r="R130" s="16">
        <f>+C18*12*0.866-C43/2+C12</f>
        <v>55.351999999999997</v>
      </c>
      <c r="S130" s="16" t="s">
        <v>0</v>
      </c>
      <c r="U130" s="37" t="s">
        <v>11</v>
      </c>
      <c r="V130" s="37">
        <f>+B135</f>
        <v>232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29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Q131" s="37" t="s">
        <v>13</v>
      </c>
      <c r="R131" s="37">
        <f>+C14*E130*C7-C7*0.15*C22*C23*C21/12+C7*0.15*(C43)/12*(C43)/12*C21/12+C7*2*U26*U27*C21/12*0.15</f>
        <v>1377.8285800516269</v>
      </c>
      <c r="S131" s="37" t="s">
        <v>8</v>
      </c>
      <c r="T131" s="37"/>
      <c r="U131" s="37" t="s">
        <v>2</v>
      </c>
      <c r="V131" s="37">
        <f>+B136</f>
        <v>80</v>
      </c>
      <c r="W131" s="37" t="s">
        <v>0</v>
      </c>
    </row>
    <row r="132" spans="1:23" ht="18.75" x14ac:dyDescent="0.35">
      <c r="A132" s="59" t="s">
        <v>57</v>
      </c>
      <c r="B132" s="68">
        <f>+C14*E130*C7-C7*0.15*C22*C23*C21/12+C7*0.15*(C43)/12*(C43)/12*C21/12+C7*2*U26*U27*C21/12*0.15</f>
        <v>1377.8285800516269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5.2257207890743542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1004.7309506616921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232</v>
      </c>
      <c r="S134" s="37" t="s">
        <v>0</v>
      </c>
      <c r="T134" s="37"/>
      <c r="U134" s="34" t="s">
        <v>12</v>
      </c>
      <c r="V134" s="37">
        <f>+V133*0.75</f>
        <v>753.54821299626906</v>
      </c>
      <c r="W134" s="37" t="s">
        <v>8</v>
      </c>
    </row>
    <row r="135" spans="1:23" ht="18" x14ac:dyDescent="0.35">
      <c r="A135" s="59" t="s">
        <v>11</v>
      </c>
      <c r="B135" s="61">
        <f>4*(B128+C43)</f>
        <v>232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480.6662043455936</v>
      </c>
      <c r="P135" s="16" t="s">
        <v>5</v>
      </c>
      <c r="Q135" s="37" t="s">
        <v>2</v>
      </c>
      <c r="R135" s="37">
        <f>+B136</f>
        <v>80</v>
      </c>
      <c r="S135" s="37" t="s">
        <v>0</v>
      </c>
      <c r="T135" s="37"/>
      <c r="U135" s="34" t="s">
        <v>14</v>
      </c>
      <c r="V135" s="37">
        <f>+V127/V134</f>
        <v>1.7735262636384006</v>
      </c>
      <c r="W135" s="37"/>
    </row>
    <row r="136" spans="1:23" ht="18" x14ac:dyDescent="0.35">
      <c r="A136" s="59" t="s">
        <v>2</v>
      </c>
      <c r="B136" s="61">
        <f>4*C43</f>
        <v>80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3.9817892759069231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7.6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5.7908946379534614</v>
      </c>
      <c r="Q137" s="37" t="s">
        <v>7</v>
      </c>
      <c r="R137" s="37">
        <f>+R136*(C10*1000)^0.5*R135*B128/1000</f>
        <v>765.56461510166832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1461.2252612106045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1113.3949381561363</v>
      </c>
      <c r="Q138" s="37" t="s">
        <v>12</v>
      </c>
      <c r="R138" s="37">
        <f>+R137*0.75</f>
        <v>574.1734613262513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1095.9189459079535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1.2375021053476425</v>
      </c>
      <c r="Q139" s="37" t="s">
        <v>14</v>
      </c>
      <c r="R139" s="37">
        <f>+R131/R138</f>
        <v>2.3996730480525126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1.2572358432129442</v>
      </c>
      <c r="C140" s="37"/>
      <c r="D140" s="130" t="s">
        <v>233</v>
      </c>
      <c r="F140" s="16" t="s">
        <v>14</v>
      </c>
      <c r="G140" s="80">
        <f>+(B140+R139)/2</f>
        <v>1.8284544456327283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38.295000000000002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+C18*12*0.866-C43/2+C12</f>
        <v>55.351999999999997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1.4454106280193235</v>
      </c>
      <c r="C146" s="39"/>
      <c r="D146" s="70" t="str">
        <f>+IF(B146&lt;1,"OK, this limit state should be checked","Limit state not applicable")</f>
        <v>Limit state not applicable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6*C7*C14-C7*0.15*C22*C23*C21/12*((C22/2-C43/2/12)/C22)+C7*U26*U27*C21/12*0.15</f>
        <v>575.98095669248016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C7*C14*(4*B145)+C7*C14*(2*(B145+0.866*C18*12))-C7*0.15*C22*C23*C21/12*((C22/2-C43/2/12)/C22)*(C22/2-C43/2/12)*12/2+C7*U26*U27*C21/12*0.15*(C22*12/2-U26*12/3)</f>
        <v>47062.890331016897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-156.24971894637011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0.46867480049353644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2.1336756295558312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-2.4705249781584708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-1103.9710611109542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-0.52173555719192122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36.885000000000005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+C18*12*0.5-C43/2+C12</f>
        <v>29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0.78622746373864705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7*C7*C14-C7*0.15*C22*C23*C21/12*((C23/2-C43/2/12)/C23)+C7*U26*U27*C21/12*0.15</f>
        <v>706.2081566924802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C7*C14*(2*B158)+C7*C14*(3*(B158+0.5*C18*12))+C7*C14*(2*(B158+1*C18*12))-C7*0.15*C22*C23*C21/12*((C23/2-C43/2/12)/C23)*(C23/2-C43/2/12)*12/2+C7*U26*U27*C21/12*0.15*(C23*12/2-U27*12/3)</f>
        <v>48600.957581610768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-182.99745389662723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0.53596655612930044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1.8657880581615112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-2.8934438016249864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-1414.4738899425727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-0.49927267071798132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38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19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+C23*C22*C21/12/27-2*U26*U27*C21/12/27</f>
        <v>64.326865218370358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58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6923.8660000000009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15.942922157457504</v>
      </c>
      <c r="AF172" s="16" t="s">
        <v>5</v>
      </c>
    </row>
    <row r="173" spans="1:32" ht="18.75" x14ac:dyDescent="0.35">
      <c r="A173" s="34"/>
      <c r="B173" s="40">
        <f>+C66</f>
        <v>17</v>
      </c>
      <c r="C173" s="39" t="s">
        <v>70</v>
      </c>
      <c r="D173" s="72" t="str">
        <f>"#"&amp;+C24</f>
        <v>#11</v>
      </c>
      <c r="E173" s="37" t="s">
        <v>71</v>
      </c>
      <c r="F173" s="37" t="s">
        <v>72</v>
      </c>
      <c r="G173" s="43">
        <f>+C23-0.5</f>
        <v>20</v>
      </c>
      <c r="H173" s="39" t="s">
        <v>73</v>
      </c>
      <c r="I173" s="38"/>
      <c r="Q173" s="16" t="s">
        <v>7</v>
      </c>
      <c r="R173" s="16">
        <f>+R172*T171/1000</f>
        <v>1751.6149419039518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1.7281312499999999</v>
      </c>
      <c r="H174" s="39" t="s">
        <v>73</v>
      </c>
      <c r="I174" s="38"/>
      <c r="Q174" s="16" t="s">
        <v>12</v>
      </c>
      <c r="R174" s="16">
        <f>+R173*0.75</f>
        <v>1313.7112064279638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1806.4577267187499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110.38665666666667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8.4026577627218879E-2</v>
      </c>
    </row>
    <row r="177" spans="1:32" x14ac:dyDescent="0.25">
      <c r="A177" s="34"/>
      <c r="B177" s="40">
        <f>+C84</f>
        <v>22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22.783999999999999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2663.1862429480002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38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19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4469.6439696667503</v>
      </c>
      <c r="D181" s="37" t="s">
        <v>78</v>
      </c>
      <c r="E181" s="37" t="s">
        <v>79</v>
      </c>
      <c r="F181" s="80">
        <f>+C181/2000</f>
        <v>2.234821984833375</v>
      </c>
      <c r="G181" s="37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182.20700000000002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12395.866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16.98523174312038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3135.9336104192612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2351.950207814446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210.54665666666668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8.9520031490087346E-2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38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19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75.551749999999998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2870.9665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40.507844367625559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726.30345808334403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544.72759356250799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116.29666416666666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0.21349508550886639</v>
      </c>
      <c r="T199" s="16" t="s">
        <v>145</v>
      </c>
      <c r="V199" s="16">
        <f>+(C19*C19+C19*T170+3.1415*T170^2/4/4)/144</f>
        <v>12.190974826388889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38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3360.1879999999996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34.214847748320629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425.03389785463463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318.77542339097596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114.96832082573398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0.36065616226858899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37" man="1"/>
    <brk id="85" max="37" man="1"/>
    <brk id="126" max="37" man="1"/>
    <brk id="167" max="37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8.85546875" style="16" hidden="1" customWidth="1"/>
    <col min="11" max="11" width="12.85546875" style="16" hidden="1" customWidth="1"/>
    <col min="12" max="12" width="15.5703125" style="16" hidden="1" customWidth="1"/>
    <col min="13" max="13" width="8.85546875" style="16" hidden="1" customWidth="1"/>
    <col min="14" max="14" width="14.140625" style="16" hidden="1" customWidth="1"/>
    <col min="15" max="15" width="12.85546875" style="16" hidden="1" customWidth="1"/>
    <col min="16" max="27" width="8.85546875" style="16" hidden="1" customWidth="1"/>
    <col min="28" max="28" width="27.85546875" style="16" hidden="1" customWidth="1"/>
    <col min="29" max="38" width="8.85546875" style="16" hidden="1" customWidth="1"/>
    <col min="39" max="52" width="8.85546875" style="16" customWidth="1"/>
    <col min="53" max="16384" width="9.140625" style="16"/>
  </cols>
  <sheetData>
    <row r="1" spans="1:17" ht="15.6" x14ac:dyDescent="0.35">
      <c r="A1" s="99" t="s">
        <v>202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16.590060000000001</v>
      </c>
    </row>
    <row r="20" spans="1:17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16.590060000000001</v>
      </c>
    </row>
    <row r="21" spans="1:17" ht="18" x14ac:dyDescent="0.35">
      <c r="A21" s="34"/>
      <c r="B21" s="36" t="s">
        <v>397</v>
      </c>
      <c r="C21" s="84">
        <v>71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1.1279999999999999</v>
      </c>
      <c r="M21" s="16" t="s">
        <v>20</v>
      </c>
      <c r="N21" s="16" t="s">
        <v>36</v>
      </c>
      <c r="P21" s="16">
        <f>+IF(C25&lt;9,(C25/8),IF(C25=9,1.128,IF(C25=10,1.27,IF(C25=11,1.41,IF(C25=14,1.693,0)))))</f>
        <v>1.1279999999999999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2*C19/12+C18*3</f>
        <v>20.5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0.99929858399999982</v>
      </c>
      <c r="M22" s="16" t="s">
        <v>34</v>
      </c>
      <c r="N22" s="16" t="s">
        <v>37</v>
      </c>
      <c r="P22" s="16">
        <f>3.1415*P21^2/4</f>
        <v>0.99929858399999982</v>
      </c>
      <c r="Q22" s="16" t="s">
        <v>34</v>
      </c>
    </row>
    <row r="23" spans="1:17" x14ac:dyDescent="0.25">
      <c r="A23" s="34"/>
      <c r="B23" s="36" t="s">
        <v>399</v>
      </c>
      <c r="C23" s="122">
        <f>2*C19/12+C18*3</f>
        <v>20.5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9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9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60.308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61.436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61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17" x14ac:dyDescent="0.25">
      <c r="A32" s="34" t="s">
        <v>203</v>
      </c>
      <c r="B32" s="37"/>
      <c r="C32" s="37"/>
      <c r="D32" s="37"/>
      <c r="E32" s="37"/>
      <c r="F32" s="49" t="str">
        <f>+IF(C81&gt;C82,"NG; select smaller bar size","OK")</f>
        <v>OK</v>
      </c>
      <c r="G32" s="37"/>
      <c r="H32" s="37"/>
      <c r="I32" s="38"/>
      <c r="J32" s="16" t="s">
        <v>1</v>
      </c>
      <c r="M32" s="16">
        <f>+C28</f>
        <v>61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30.5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81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15522.1515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applicable",IF(B140&lt;1,"OK","NG"))</f>
        <v>OK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4.9727139448903079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3926.8282340959277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2945.121175571946</v>
      </c>
      <c r="L38" s="16" t="s">
        <v>8</v>
      </c>
    </row>
    <row r="39" spans="1:25" ht="18" x14ac:dyDescent="0.35">
      <c r="A39" s="165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77.187219218750002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2.6208503697223988E-2</v>
      </c>
    </row>
    <row r="41" spans="1:25" ht="18" x14ac:dyDescent="0.35">
      <c r="A41" s="34"/>
      <c r="B41" s="59" t="s">
        <v>22</v>
      </c>
      <c r="C41" s="60">
        <f>C7*16*C14-C7*C22*C23*C21/12*0.15</f>
        <v>1451.2449999999999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19.04760483630422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20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C7*C14*(4*(0.5*C18*12+C12-C43/4))+C7*C14*(4*(1.5*C18*12+C12-C43/4))-C7*(C23/2-C43/12/4)*C22*C21/12*0.15*(C23/2-C43/12/4)*12/2</f>
        <v>54791.348333333335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2672.7486991869919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60.308</v>
      </c>
      <c r="D48" s="39" t="s">
        <v>0</v>
      </c>
      <c r="E48" s="37"/>
      <c r="F48" s="37"/>
      <c r="G48" s="37"/>
      <c r="H48" s="37"/>
      <c r="I48" s="38"/>
    </row>
    <row r="49" spans="1:18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0.84769103474093299</v>
      </c>
      <c r="D49" s="39" t="s">
        <v>406</v>
      </c>
      <c r="E49" s="37"/>
      <c r="F49" s="37"/>
      <c r="G49" s="37"/>
      <c r="H49" s="37"/>
      <c r="I49" s="38"/>
    </row>
    <row r="50" spans="1:18" ht="18" x14ac:dyDescent="0.35">
      <c r="A50" s="34"/>
      <c r="B50" s="36" t="s">
        <v>38</v>
      </c>
      <c r="C50" s="61">
        <f>+C49*C22</f>
        <v>17.377666212189126</v>
      </c>
      <c r="D50" s="39" t="s">
        <v>407</v>
      </c>
      <c r="E50" s="37"/>
      <c r="F50" s="37"/>
      <c r="G50" s="37"/>
      <c r="H50" s="37"/>
      <c r="I50" s="38"/>
    </row>
    <row r="51" spans="1:18" ht="18" x14ac:dyDescent="0.35">
      <c r="A51" s="34"/>
      <c r="B51" s="36" t="s">
        <v>42</v>
      </c>
      <c r="C51" s="61">
        <f>+C50*4/3</f>
        <v>23.170221616252167</v>
      </c>
      <c r="D51" s="39" t="s">
        <v>407</v>
      </c>
      <c r="E51" s="37"/>
      <c r="F51" s="37"/>
      <c r="G51" s="37"/>
      <c r="H51" s="37"/>
      <c r="I51" s="38"/>
    </row>
    <row r="52" spans="1:18" ht="18.75" x14ac:dyDescent="0.35">
      <c r="A52" s="34"/>
      <c r="B52" s="36" t="s">
        <v>420</v>
      </c>
      <c r="C52" s="61">
        <f>3*(C10*1000)^0.5*C22*12*C48/C11/1000</f>
        <v>46.914817717840918</v>
      </c>
      <c r="D52" s="39" t="s">
        <v>407</v>
      </c>
      <c r="E52" s="37"/>
      <c r="F52" s="37"/>
      <c r="G52" s="37"/>
      <c r="H52" s="37"/>
      <c r="I52" s="38"/>
    </row>
    <row r="53" spans="1:18" ht="18" x14ac:dyDescent="0.35">
      <c r="A53" s="34"/>
      <c r="B53" s="36" t="s">
        <v>421</v>
      </c>
      <c r="C53" s="61">
        <f>200*C22*12*C48/C11/1000</f>
        <v>49.452560000000005</v>
      </c>
      <c r="D53" s="39" t="s">
        <v>407</v>
      </c>
      <c r="E53" s="37"/>
      <c r="F53" s="37"/>
      <c r="G53" s="37"/>
      <c r="H53" s="37"/>
      <c r="I53" s="38"/>
    </row>
    <row r="54" spans="1:18" ht="18" x14ac:dyDescent="0.35">
      <c r="A54" s="34"/>
      <c r="B54" s="36" t="s">
        <v>43</v>
      </c>
      <c r="C54" s="61">
        <f>+MAX(C52:C53)</f>
        <v>49.452560000000005</v>
      </c>
      <c r="D54" s="39" t="s">
        <v>407</v>
      </c>
      <c r="E54" s="37"/>
      <c r="F54" s="37"/>
      <c r="G54" s="37"/>
      <c r="H54" s="37"/>
      <c r="I54" s="38"/>
    </row>
    <row r="55" spans="1:18" ht="18" x14ac:dyDescent="0.35">
      <c r="A55" s="34"/>
      <c r="B55" s="36" t="s">
        <v>408</v>
      </c>
      <c r="C55" s="61">
        <f>+IF(C11=60,0.0018*C22*12*C21,0.002*C22*12*C21)</f>
        <v>31.438800000000001</v>
      </c>
      <c r="D55" s="39" t="s">
        <v>407</v>
      </c>
      <c r="E55" s="37"/>
      <c r="F55" s="37"/>
      <c r="G55" s="37"/>
      <c r="H55" s="37"/>
      <c r="I55" s="38"/>
    </row>
    <row r="56" spans="1:18" ht="18" x14ac:dyDescent="0.35">
      <c r="A56" s="34"/>
      <c r="B56" s="36" t="s">
        <v>40</v>
      </c>
      <c r="C56" s="63">
        <f>+IF(C50&gt;C54,C50,IF(C51&gt;C54,C54,IF(C51&gt;C55,C51,C55)))</f>
        <v>31.438800000000001</v>
      </c>
      <c r="D56" s="39" t="s">
        <v>407</v>
      </c>
      <c r="E56" s="37"/>
      <c r="F56" s="37"/>
      <c r="G56" s="37"/>
      <c r="H56" s="37"/>
      <c r="I56" s="38"/>
    </row>
    <row r="57" spans="1:18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  <c r="P57" s="160"/>
      <c r="Q57" s="160"/>
      <c r="R57" s="160"/>
    </row>
    <row r="58" spans="1:18" x14ac:dyDescent="0.25">
      <c r="A58" s="124"/>
      <c r="B58" s="65" t="s">
        <v>44</v>
      </c>
      <c r="C58" s="43">
        <f>+C22/C23</f>
        <v>1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8.23696551724138</v>
      </c>
      <c r="N58" s="160" t="s">
        <v>0</v>
      </c>
      <c r="O58" s="160"/>
      <c r="P58" s="160"/>
      <c r="Q58" s="160"/>
      <c r="R58" s="160"/>
    </row>
    <row r="59" spans="1:18" ht="18" x14ac:dyDescent="0.35">
      <c r="A59" s="124"/>
      <c r="B59" s="65" t="s">
        <v>46</v>
      </c>
      <c r="C59" s="61">
        <f>2/(C58+1)</f>
        <v>1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3.5640000000000001</v>
      </c>
      <c r="N59" s="160" t="s">
        <v>0</v>
      </c>
      <c r="O59" s="160"/>
      <c r="P59" s="160"/>
      <c r="Q59" s="160"/>
      <c r="R59" s="160"/>
    </row>
    <row r="60" spans="1:18" ht="18" x14ac:dyDescent="0.35">
      <c r="A60" s="34"/>
      <c r="B60" s="36" t="s">
        <v>45</v>
      </c>
      <c r="C60" s="61">
        <f>+C50*C58*C59</f>
        <v>17.377666212189126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3.5640000000000001</v>
      </c>
      <c r="N60" s="160" t="s">
        <v>0</v>
      </c>
      <c r="O60" s="160"/>
      <c r="P60" s="160"/>
      <c r="Q60" s="160"/>
      <c r="R60" s="160"/>
    </row>
    <row r="61" spans="1:18" ht="18" x14ac:dyDescent="0.35">
      <c r="A61" s="34"/>
      <c r="B61" s="36" t="s">
        <v>40</v>
      </c>
      <c r="C61" s="61">
        <f>+MAX(C60,C56)</f>
        <v>31.438800000000001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  <c r="P61" s="160"/>
      <c r="Q61" s="160"/>
      <c r="R61" s="160"/>
    </row>
    <row r="62" spans="1:18" ht="18" x14ac:dyDescent="0.35">
      <c r="A62" s="34"/>
      <c r="B62" s="36" t="s">
        <v>208</v>
      </c>
      <c r="C62" s="164">
        <f>+M60</f>
        <v>3.5640000000000001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  <c r="P62" s="160"/>
      <c r="Q62" s="160"/>
      <c r="R62" s="160"/>
    </row>
    <row r="63" spans="1:18" ht="18" x14ac:dyDescent="0.35">
      <c r="A63" s="34"/>
      <c r="B63" s="36" t="s">
        <v>209</v>
      </c>
      <c r="C63" s="162">
        <f>+M66</f>
        <v>32.103442806029385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  <c r="P63" s="160"/>
      <c r="Q63" s="160"/>
      <c r="R63" s="160"/>
    </row>
    <row r="64" spans="1:18" ht="18" x14ac:dyDescent="0.35">
      <c r="A64" s="34"/>
      <c r="B64" s="36" t="s">
        <v>212</v>
      </c>
      <c r="C64" s="162">
        <f>+M67</f>
        <v>110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  <c r="P64" s="160"/>
      <c r="Q64" s="160"/>
      <c r="R64" s="160"/>
    </row>
    <row r="65" spans="1:18" x14ac:dyDescent="0.25">
      <c r="A65" s="34"/>
      <c r="B65" s="36" t="s">
        <v>410</v>
      </c>
      <c r="C65" s="163">
        <f>+C61/L22</f>
        <v>31.460867155596816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  <c r="P65" s="160"/>
      <c r="Q65" s="160"/>
      <c r="R65" s="160"/>
    </row>
    <row r="66" spans="1:18" x14ac:dyDescent="0.25">
      <c r="A66" s="34"/>
      <c r="B66" s="36" t="s">
        <v>411</v>
      </c>
      <c r="C66" s="84">
        <v>30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32.103442806029385</v>
      </c>
      <c r="N66" s="160" t="s">
        <v>0</v>
      </c>
      <c r="O66" s="160"/>
      <c r="P66" s="160"/>
      <c r="Q66" s="160"/>
      <c r="R66" s="160"/>
    </row>
    <row r="67" spans="1:18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110</v>
      </c>
      <c r="N67" s="160" t="s">
        <v>0</v>
      </c>
      <c r="O67" s="160" t="str">
        <f>+IF(M67&gt;M66,"OK; required development length available","NG")</f>
        <v>OK; required development length available</v>
      </c>
      <c r="P67" s="160"/>
      <c r="Q67" s="160"/>
      <c r="R67" s="160"/>
    </row>
    <row r="68" spans="1:18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  <c r="K68" s="160"/>
      <c r="L68" s="160"/>
      <c r="M68" s="160"/>
      <c r="N68" s="160"/>
      <c r="O68" s="160"/>
      <c r="P68" s="160"/>
      <c r="Q68" s="160"/>
      <c r="R68" s="160"/>
    </row>
    <row r="69" spans="1:18" ht="18" x14ac:dyDescent="0.35">
      <c r="A69" s="34"/>
      <c r="B69" s="36" t="s">
        <v>25</v>
      </c>
      <c r="C69" s="60">
        <f>C7*C14*(4*(0.5*C18*12+C12-C43/4))+C7*C14*(4*(1.5*C18*12+C12-C43/4))-C7*(C22/2-C43/12/4)*C23*C21/12*0.15*(C22/2-C43/12/4)*12/2</f>
        <v>54791.348333333335</v>
      </c>
      <c r="D69" s="39" t="s">
        <v>26</v>
      </c>
      <c r="E69" s="37" t="s">
        <v>117</v>
      </c>
      <c r="F69" s="37"/>
      <c r="G69" s="37"/>
      <c r="H69" s="37"/>
      <c r="I69" s="38"/>
      <c r="K69" s="160"/>
      <c r="L69" s="160"/>
      <c r="M69" s="160"/>
      <c r="N69" s="160"/>
      <c r="O69" s="160"/>
      <c r="P69" s="160"/>
      <c r="Q69" s="160"/>
      <c r="R69" s="160"/>
    </row>
    <row r="70" spans="1:18" ht="18" x14ac:dyDescent="0.35">
      <c r="A70" s="34"/>
      <c r="B70" s="36" t="s">
        <v>25</v>
      </c>
      <c r="C70" s="68">
        <f>+C69/C23</f>
        <v>2672.7486991869919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  <c r="P70" s="160"/>
      <c r="Q70" s="160"/>
      <c r="R70" s="160"/>
    </row>
    <row r="71" spans="1:18" x14ac:dyDescent="0.25">
      <c r="A71" s="34"/>
      <c r="B71" s="36" t="s">
        <v>1</v>
      </c>
      <c r="C71" s="44">
        <f>+C21-C15-C16-P21/2</f>
        <v>61.436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8.23696551724138</v>
      </c>
      <c r="N71" s="160" t="s">
        <v>0</v>
      </c>
      <c r="O71" s="160"/>
      <c r="P71" s="160"/>
      <c r="Q71" s="160"/>
      <c r="R71" s="160"/>
    </row>
    <row r="72" spans="1:18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0.83247847190693136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3.5640000000000001</v>
      </c>
      <c r="N72" s="160" t="s">
        <v>0</v>
      </c>
      <c r="O72" s="160"/>
      <c r="P72" s="160"/>
      <c r="Q72" s="160"/>
      <c r="R72" s="160"/>
    </row>
    <row r="73" spans="1:18" ht="18.75" x14ac:dyDescent="0.35">
      <c r="A73" s="34"/>
      <c r="B73" s="36" t="s">
        <v>38</v>
      </c>
      <c r="C73" s="61">
        <f>+C72*C23</f>
        <v>17.065808674092093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3.5640000000000001</v>
      </c>
      <c r="N73" s="160" t="s">
        <v>0</v>
      </c>
      <c r="O73" s="160"/>
      <c r="P73" s="160"/>
      <c r="Q73" s="160"/>
      <c r="R73" s="160"/>
    </row>
    <row r="74" spans="1:18" ht="18.75" x14ac:dyDescent="0.35">
      <c r="A74" s="34"/>
      <c r="B74" s="36" t="s">
        <v>42</v>
      </c>
      <c r="C74" s="61">
        <f>+C73*4/3</f>
        <v>22.754411565456124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  <c r="P74" s="160"/>
      <c r="Q74" s="160"/>
      <c r="R74" s="160"/>
    </row>
    <row r="75" spans="1:18" ht="18.75" x14ac:dyDescent="0.35">
      <c r="A75" s="34"/>
      <c r="B75" s="36" t="s">
        <v>420</v>
      </c>
      <c r="C75" s="61">
        <f>3*(C10*1000)^0.5*C23*12*C71/C11/1000</f>
        <v>47.792311821205722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  <c r="P75" s="160"/>
      <c r="Q75" s="160"/>
      <c r="R75" s="160"/>
    </row>
    <row r="76" spans="1:18" ht="18.75" x14ac:dyDescent="0.35">
      <c r="A76" s="34"/>
      <c r="B76" s="36" t="s">
        <v>421</v>
      </c>
      <c r="C76" s="61">
        <f>200*C23*12*C71/C11/1000</f>
        <v>50.377520000000004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  <c r="P76" s="160"/>
      <c r="Q76" s="160"/>
      <c r="R76" s="160"/>
    </row>
    <row r="77" spans="1:18" ht="18.75" x14ac:dyDescent="0.35">
      <c r="A77" s="34"/>
      <c r="B77" s="36" t="s">
        <v>43</v>
      </c>
      <c r="C77" s="61">
        <f>+MAX(C75:C76)</f>
        <v>50.377520000000004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  <c r="P77" s="160"/>
      <c r="Q77" s="160"/>
      <c r="R77" s="160"/>
    </row>
    <row r="78" spans="1:18" ht="18.75" x14ac:dyDescent="0.35">
      <c r="A78" s="34"/>
      <c r="B78" s="36" t="s">
        <v>408</v>
      </c>
      <c r="C78" s="61">
        <f>+IF(C11=60,0.0018*C23*12*C21,0.002*C23*12*C21)</f>
        <v>31.438800000000001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  <c r="P78" s="160"/>
      <c r="Q78" s="160"/>
      <c r="R78" s="160"/>
    </row>
    <row r="79" spans="1:18" ht="18.75" x14ac:dyDescent="0.35">
      <c r="A79" s="34"/>
      <c r="B79" s="36" t="s">
        <v>40</v>
      </c>
      <c r="C79" s="61">
        <f>+IF(C73&gt;C77,C73,IF(C74&gt;C77,C77,IF(C74&gt;C78,C74,C78)))</f>
        <v>31.438800000000001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32.103442806029385</v>
      </c>
      <c r="N79" s="160" t="s">
        <v>0</v>
      </c>
      <c r="O79" s="160"/>
      <c r="P79" s="160"/>
      <c r="Q79" s="160"/>
      <c r="R79" s="160"/>
    </row>
    <row r="80" spans="1:18" ht="18" x14ac:dyDescent="0.35">
      <c r="A80" s="34"/>
      <c r="B80" s="161" t="s">
        <v>208</v>
      </c>
      <c r="C80" s="68">
        <f>+M73</f>
        <v>3.5640000000000001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110</v>
      </c>
      <c r="N80" s="160" t="s">
        <v>0</v>
      </c>
      <c r="O80" s="160" t="str">
        <f>+IF(M80&gt;M79,"OK; required development length available","NG")</f>
        <v>OK; required development length available</v>
      </c>
      <c r="P80" s="160"/>
      <c r="Q80" s="160"/>
      <c r="R80" s="160"/>
    </row>
    <row r="81" spans="1:17" ht="18" x14ac:dyDescent="0.35">
      <c r="A81" s="34"/>
      <c r="B81" s="161" t="s">
        <v>209</v>
      </c>
      <c r="C81" s="61">
        <f>+M79</f>
        <v>32.103442806029385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110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31.460867155596816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30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40.5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61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+C18/2*12+C12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30.5</v>
      </c>
      <c r="C88" s="39" t="s">
        <v>0</v>
      </c>
      <c r="D88" s="37"/>
      <c r="E88" s="37"/>
      <c r="F88" s="37"/>
      <c r="G88" s="70"/>
      <c r="H88" s="37"/>
      <c r="I88" s="38"/>
      <c r="J88" s="16" t="s">
        <v>56</v>
      </c>
      <c r="K88" s="51"/>
      <c r="L88" s="51"/>
      <c r="M88" s="51"/>
      <c r="N88" s="51"/>
      <c r="O88" s="51">
        <f>+C18/2*12+C12</f>
        <v>39</v>
      </c>
      <c r="P88" s="16" t="s">
        <v>0</v>
      </c>
      <c r="Q88" s="16" t="s">
        <v>119</v>
      </c>
    </row>
    <row r="89" spans="1:17" x14ac:dyDescent="0.25">
      <c r="A89" s="166"/>
      <c r="B89" s="70"/>
      <c r="C89" s="70"/>
      <c r="D89" s="71" t="s">
        <v>413</v>
      </c>
      <c r="E89" s="72">
        <f>+IF(M86&gt;O90,0,IF(M86&gt;O88,12,16))</f>
        <v>12</v>
      </c>
      <c r="F89" s="37"/>
      <c r="G89" s="37"/>
      <c r="H89" s="37"/>
      <c r="I89" s="38"/>
      <c r="J89" s="16" t="s">
        <v>220</v>
      </c>
      <c r="K89" s="51"/>
      <c r="L89" s="51"/>
      <c r="M89" s="51"/>
      <c r="N89" s="51"/>
      <c r="O89" s="51">
        <f>1.5*C18*12+C12</f>
        <v>111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221</v>
      </c>
      <c r="K90" s="51"/>
      <c r="L90" s="51"/>
      <c r="M90" s="51"/>
      <c r="N90" s="51"/>
      <c r="O90" s="51">
        <f>1.5*C18*12+C12</f>
        <v>111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324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252.98221281347034</v>
      </c>
      <c r="P91" s="16" t="s">
        <v>5</v>
      </c>
    </row>
    <row r="92" spans="1:17" ht="18.75" x14ac:dyDescent="0.35">
      <c r="A92" s="59" t="s">
        <v>7</v>
      </c>
      <c r="B92" s="68">
        <f>+B90*B91*B87/1000</f>
        <v>4999.9404540454279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3749.9553405340712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1003.9437500000003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0.26772152168004698</v>
      </c>
      <c r="C95" s="37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71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61</v>
      </c>
      <c r="C99" s="39" t="s">
        <v>0</v>
      </c>
      <c r="D99" s="37"/>
      <c r="E99" s="37"/>
      <c r="F99" s="37"/>
      <c r="G99" s="37"/>
      <c r="H99" s="37"/>
      <c r="I99" s="38"/>
      <c r="J99" s="16" t="s">
        <v>222</v>
      </c>
      <c r="K99" s="51"/>
      <c r="L99" s="51"/>
      <c r="M99" s="51"/>
      <c r="N99" s="51"/>
      <c r="O99" s="51">
        <f>0.5*C18*12+C12</f>
        <v>39</v>
      </c>
      <c r="P99" s="16" t="s">
        <v>0</v>
      </c>
      <c r="Q99" s="16" t="s">
        <v>119</v>
      </c>
    </row>
    <row r="100" spans="1:17" x14ac:dyDescent="0.25">
      <c r="A100" s="125"/>
      <c r="B100" s="70"/>
      <c r="C100" s="70"/>
      <c r="D100" s="59" t="s">
        <v>414</v>
      </c>
      <c r="E100" s="72">
        <f>+IF(M98&gt;O100,0,IF(M98&gt;O99,4,8))</f>
        <v>4</v>
      </c>
      <c r="F100" s="37"/>
      <c r="G100" s="37"/>
      <c r="H100" s="37"/>
      <c r="I100" s="38"/>
      <c r="J100" s="16" t="s">
        <v>59</v>
      </c>
      <c r="K100" s="51"/>
      <c r="L100" s="51"/>
      <c r="M100" s="51"/>
      <c r="N100" s="51"/>
      <c r="O100" s="51">
        <f>1.5*C18*12+C12</f>
        <v>111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L101" s="16" t="s">
        <v>83</v>
      </c>
      <c r="O101" s="16">
        <f>+B101</f>
        <v>126.49110640673517</v>
      </c>
      <c r="P101" s="16" t="s">
        <v>5</v>
      </c>
    </row>
    <row r="102" spans="1:17" x14ac:dyDescent="0.25">
      <c r="A102" s="59" t="s">
        <v>61</v>
      </c>
      <c r="B102" s="68">
        <f>+C23*12*B99</f>
        <v>15006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1898.1255427394678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1423.5941570546008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385.85666666666668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0.2710440084026472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71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61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223</v>
      </c>
      <c r="K110" s="51"/>
      <c r="L110" s="51"/>
      <c r="M110" s="51"/>
      <c r="N110" s="51"/>
      <c r="O110" s="51">
        <f>0.5*C18*12+C12</f>
        <v>39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+IF(M109&gt;O111,0,IF(M109&gt;O110,4,8))</f>
        <v>4</v>
      </c>
      <c r="F111" s="37"/>
      <c r="G111" s="37"/>
      <c r="H111" s="37"/>
      <c r="I111" s="38"/>
      <c r="J111" s="16" t="s">
        <v>81</v>
      </c>
      <c r="K111" s="51"/>
      <c r="L111" s="51"/>
      <c r="M111" s="51"/>
      <c r="N111" s="51"/>
      <c r="O111" s="51">
        <f>1.5*C18*12+C12</f>
        <v>111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126.49110640673517</v>
      </c>
      <c r="P112" s="16" t="s">
        <v>5</v>
      </c>
    </row>
    <row r="113" spans="1:9" x14ac:dyDescent="0.25">
      <c r="A113" s="59" t="s">
        <v>61</v>
      </c>
      <c r="B113" s="68">
        <f>+C22*12*B110</f>
        <v>15006</v>
      </c>
      <c r="C113" s="157" t="s">
        <v>0</v>
      </c>
      <c r="D113" s="37"/>
      <c r="E113" s="37"/>
      <c r="F113" s="37"/>
      <c r="G113" s="37"/>
      <c r="H113" s="37"/>
      <c r="I113" s="38"/>
    </row>
    <row r="114" spans="1:9" ht="18.75" x14ac:dyDescent="0.35">
      <c r="A114" s="59" t="s">
        <v>7</v>
      </c>
      <c r="B114" s="68">
        <f>+B112*B113/1000</f>
        <v>1898.1255427394678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9" ht="18" x14ac:dyDescent="0.35">
      <c r="A115" s="59" t="s">
        <v>12</v>
      </c>
      <c r="B115" s="68">
        <f>+B114*0.75</f>
        <v>1423.5941570546008</v>
      </c>
      <c r="C115" s="39" t="s">
        <v>18</v>
      </c>
      <c r="D115" s="37"/>
      <c r="E115" s="37"/>
      <c r="F115" s="37"/>
      <c r="G115" s="37"/>
      <c r="H115" s="37"/>
      <c r="I115" s="38"/>
    </row>
    <row r="116" spans="1:9" ht="18" x14ac:dyDescent="0.35">
      <c r="A116" s="59" t="s">
        <v>57</v>
      </c>
      <c r="B116" s="68">
        <f>+E111*C14*C7-C7*0.15*C22*C23*C21/12*((C23/2-M109/12)/C23)</f>
        <v>385.85666666666668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9" ht="18" x14ac:dyDescent="0.35">
      <c r="A117" s="59" t="s">
        <v>14</v>
      </c>
      <c r="B117" s="63">
        <f>+B116/B115</f>
        <v>0.2710440084026472</v>
      </c>
      <c r="C117" s="157"/>
      <c r="D117" s="37"/>
      <c r="E117" s="37"/>
      <c r="F117" s="37"/>
      <c r="G117" s="37"/>
      <c r="H117" s="37"/>
      <c r="I117" s="38"/>
    </row>
    <row r="118" spans="1:9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9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9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9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9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9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9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9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9" x14ac:dyDescent="0.2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</row>
    <row r="127" spans="1:9" ht="18.75" x14ac:dyDescent="0.3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</row>
    <row r="128" spans="1:9" x14ac:dyDescent="0.25">
      <c r="A128" s="59" t="s">
        <v>1</v>
      </c>
      <c r="B128" s="43">
        <f>+B87</f>
        <v>61</v>
      </c>
      <c r="C128" s="39" t="s">
        <v>0</v>
      </c>
      <c r="F128" s="37"/>
      <c r="G128" s="37"/>
      <c r="H128" s="37"/>
      <c r="I128" s="38"/>
    </row>
    <row r="129" spans="1:16" x14ac:dyDescent="0.25">
      <c r="A129" s="59" t="s">
        <v>53</v>
      </c>
      <c r="B129" s="63">
        <f>+B128/2</f>
        <v>30.5</v>
      </c>
      <c r="C129" s="39" t="s">
        <v>0</v>
      </c>
      <c r="F129" s="37"/>
      <c r="G129" s="37"/>
      <c r="H129" s="37"/>
      <c r="I129" s="38"/>
    </row>
    <row r="130" spans="1:16" x14ac:dyDescent="0.25">
      <c r="A130" s="59"/>
      <c r="B130" s="37"/>
      <c r="C130" s="37"/>
      <c r="D130" s="59" t="s">
        <v>453</v>
      </c>
      <c r="E130" s="72">
        <v>16</v>
      </c>
      <c r="G130" s="37"/>
      <c r="H130" s="37"/>
      <c r="I130" s="38"/>
    </row>
    <row r="131" spans="1:16" ht="18" x14ac:dyDescent="0.35">
      <c r="A131" s="59" t="s">
        <v>452</v>
      </c>
      <c r="B131" s="43">
        <f>+C18*12/2-C43/2+C12</f>
        <v>29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</row>
    <row r="132" spans="1:16" ht="18" x14ac:dyDescent="0.35">
      <c r="A132" s="59" t="s">
        <v>57</v>
      </c>
      <c r="B132" s="68">
        <f>+C14*E130*C7-C7*0.15*C22*C23*C21/12+C7*0.15*(C43)/12*(C43)/12*C21/12</f>
        <v>1455.1894444444442</v>
      </c>
      <c r="C132" s="39" t="s">
        <v>18</v>
      </c>
      <c r="D132" s="37"/>
      <c r="E132" s="37"/>
      <c r="F132" s="37"/>
      <c r="G132" s="37"/>
      <c r="H132" s="37"/>
      <c r="I132" s="38"/>
    </row>
    <row r="133" spans="1:16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</row>
    <row r="134" spans="1:16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</row>
    <row r="135" spans="1:16" ht="18" x14ac:dyDescent="0.35">
      <c r="A135" s="59" t="s">
        <v>11</v>
      </c>
      <c r="B135" s="61">
        <f>4*(B128+C43)</f>
        <v>324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1077.573373716687</v>
      </c>
      <c r="P135" s="16" t="s">
        <v>5</v>
      </c>
    </row>
    <row r="136" spans="1:16" ht="18" x14ac:dyDescent="0.35">
      <c r="A136" s="59" t="s">
        <v>2</v>
      </c>
      <c r="B136" s="61">
        <f>4*C43</f>
        <v>80</v>
      </c>
      <c r="C136" s="39" t="s">
        <v>0</v>
      </c>
      <c r="D136" s="37"/>
      <c r="E136" s="37"/>
      <c r="F136" s="37"/>
      <c r="G136" s="37"/>
      <c r="H136" s="37"/>
      <c r="I136" s="38"/>
    </row>
    <row r="137" spans="1:16" x14ac:dyDescent="0.25">
      <c r="A137" s="59" t="s">
        <v>6</v>
      </c>
      <c r="B137" s="61">
        <f>IF(2*B128/B131*(1+B128/C43)&lt;32,2*B128/B131*(1+B128/C43),32)</f>
        <v>17.037931034482757</v>
      </c>
      <c r="C137" s="39"/>
      <c r="D137" s="37" t="s">
        <v>9</v>
      </c>
      <c r="E137" s="37"/>
      <c r="F137" s="37"/>
      <c r="G137" s="37"/>
      <c r="H137" s="37"/>
      <c r="I137" s="38"/>
    </row>
    <row r="138" spans="1:16" ht="18.75" x14ac:dyDescent="0.35">
      <c r="A138" s="59" t="s">
        <v>7</v>
      </c>
      <c r="B138" s="68">
        <f>+B137*(C10*1000)^0.5*B136*B128/1000</f>
        <v>5258.5580637374323</v>
      </c>
      <c r="C138" s="39" t="s">
        <v>18</v>
      </c>
      <c r="D138" s="37" t="s">
        <v>10</v>
      </c>
      <c r="E138" s="37"/>
      <c r="F138" s="37"/>
      <c r="G138" s="37"/>
      <c r="H138" s="37"/>
      <c r="I138" s="38"/>
    </row>
    <row r="139" spans="1:16" ht="18" x14ac:dyDescent="0.35">
      <c r="A139" s="59" t="s">
        <v>12</v>
      </c>
      <c r="B139" s="68">
        <f>+B138*0.75</f>
        <v>3943.918547803074</v>
      </c>
      <c r="C139" s="39" t="s">
        <v>18</v>
      </c>
      <c r="D139" s="37"/>
      <c r="E139" s="37"/>
      <c r="F139" s="37"/>
      <c r="G139" s="37"/>
      <c r="H139" s="37"/>
      <c r="I139" s="38"/>
    </row>
    <row r="140" spans="1:16" ht="18" x14ac:dyDescent="0.35">
      <c r="A140" s="59" t="s">
        <v>14</v>
      </c>
      <c r="B140" s="63">
        <f>+B132/B139</f>
        <v>0.36897046092776054</v>
      </c>
      <c r="C140" s="37"/>
      <c r="D140" s="37"/>
      <c r="E140" s="37"/>
      <c r="F140" s="37"/>
      <c r="G140" s="37"/>
      <c r="H140" s="37"/>
      <c r="I140" s="38"/>
    </row>
    <row r="141" spans="1:16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16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16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16" x14ac:dyDescent="0.25">
      <c r="A144" s="59" t="s">
        <v>1</v>
      </c>
      <c r="B144" s="40">
        <f>+C21-C15-C16-P21/2</f>
        <v>61.436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+C18*12/2-C43/2+C12</f>
        <v>29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0.47203593983983333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8*C7*C14-C7*0.15*C22*C23*C21/12*((C22/2-C43/2/12)/C22)</f>
        <v>749.88083333333338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C7*C14*(4*B145)+C7*C14*(4*(B145+C18*12))-C7*0.15*C22*C23*C21/12*((C22/2-C43/2/12)/C22)*(C22/2-C43/2/12)*12/2</f>
        <v>51072.26708333334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194.26788004961327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0.90204883212832376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1.1085874338316775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3.0716448858458123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2202.0151528253236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0.34054299416204709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60.308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+C18*12/2-C43/2+C12</f>
        <v>29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0.4808648935464615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8*C7*C14-C7*0.15*C22*C23*C21/12*((C23/2-C43/2/12)/C23)</f>
        <v>749.88083333333338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C7*C14*(4*B158)+C7*C14*(4*(B158+C18*12))-C7*0.15*C22*C23*C21/12*((C23/2-C43/2/12)/C23)*(C23/2-C43/2/12)*12/2</f>
        <v>51072.26708333334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176.98457356512242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0.88548670108722805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1.1293224379001616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2.7983718158970685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1969.2765547433164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0.3807900071359332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61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30.5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92.091820987654316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81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15522.1515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4.972713944890307</v>
      </c>
      <c r="AF172" s="16" t="s">
        <v>5</v>
      </c>
    </row>
    <row r="173" spans="1:32" ht="18.75" x14ac:dyDescent="0.35">
      <c r="A173" s="34"/>
      <c r="B173" s="40">
        <f>+C66</f>
        <v>30</v>
      </c>
      <c r="C173" s="39" t="s">
        <v>70</v>
      </c>
      <c r="D173" s="72" t="str">
        <f>"#"&amp;+C24</f>
        <v>#9</v>
      </c>
      <c r="E173" s="37" t="s">
        <v>71</v>
      </c>
      <c r="F173" s="37" t="s">
        <v>72</v>
      </c>
      <c r="G173" s="43">
        <f>+C23-0.5</f>
        <v>20</v>
      </c>
      <c r="H173" s="39" t="s">
        <v>73</v>
      </c>
      <c r="I173" s="38"/>
      <c r="Q173" s="16" t="s">
        <v>7</v>
      </c>
      <c r="R173" s="16">
        <f>+R172*T171/1000</f>
        <v>3926.8282340959277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1.3825050000000001</v>
      </c>
      <c r="H174" s="39" t="s">
        <v>73</v>
      </c>
      <c r="I174" s="38"/>
      <c r="Q174" s="16" t="s">
        <v>12</v>
      </c>
      <c r="R174" s="16">
        <f>+R173*0.75</f>
        <v>2945.121175571946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2040.2346089999994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77.187219218749988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2.6208503697223981E-2</v>
      </c>
    </row>
    <row r="177" spans="1:32" x14ac:dyDescent="0.25">
      <c r="A177" s="34"/>
      <c r="B177" s="40">
        <f>+C84</f>
        <v>30</v>
      </c>
      <c r="C177" s="39" t="s">
        <v>70</v>
      </c>
      <c r="D177" s="72" t="str">
        <f>"#"&amp;+C25</f>
        <v>#9</v>
      </c>
      <c r="E177" s="37" t="s">
        <v>71</v>
      </c>
      <c r="F177" s="37" t="s">
        <v>72</v>
      </c>
      <c r="G177" s="43">
        <f>+C22-0.5</f>
        <v>20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1.3825050000000001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2040.2346089999994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61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30.5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4080.4692179999988</v>
      </c>
      <c r="D181" s="39" t="s">
        <v>78</v>
      </c>
      <c r="E181" s="37" t="s">
        <v>79</v>
      </c>
      <c r="F181" s="80">
        <f>+C181/2000</f>
        <v>2.0402346089999992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254.4615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24306.1515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6.0757137640136074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6149.0239914494514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4611.7679935870883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147.67721921875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3.2021823175862947E-2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61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30.5</v>
      </c>
      <c r="U192" s="16" t="s">
        <v>0</v>
      </c>
      <c r="W192" s="51"/>
    </row>
    <row r="193" spans="1:32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93.615375</v>
      </c>
      <c r="U193" s="16" t="s">
        <v>0</v>
      </c>
      <c r="V193" s="51"/>
      <c r="W193" s="51"/>
    </row>
    <row r="194" spans="1:32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5710.537875</v>
      </c>
      <c r="U194" s="16" t="s">
        <v>34</v>
      </c>
    </row>
    <row r="195" spans="1:32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17.70355210273209</v>
      </c>
      <c r="AF195" s="16" t="s">
        <v>5</v>
      </c>
    </row>
    <row r="196" spans="1:32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1444.6645079726327</v>
      </c>
      <c r="S196" s="16" t="s">
        <v>8</v>
      </c>
      <c r="T196" s="16" t="s">
        <v>87</v>
      </c>
    </row>
    <row r="197" spans="1:32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1083.4983809794744</v>
      </c>
      <c r="S197" s="16" t="s">
        <v>8</v>
      </c>
    </row>
    <row r="198" spans="1:32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101.09680480468749</v>
      </c>
      <c r="S198" s="16" t="s">
        <v>8</v>
      </c>
      <c r="T198" s="16" t="s">
        <v>344</v>
      </c>
    </row>
    <row r="199" spans="1:32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9.3305912200161059E-2</v>
      </c>
      <c r="T199" s="16" t="s">
        <v>145</v>
      </c>
      <c r="V199" s="16">
        <f>+(C19*C19+C19*T170+3.1415*T170^2/4/4)/144</f>
        <v>18.945912109375001</v>
      </c>
      <c r="W199" s="16" t="s">
        <v>146</v>
      </c>
    </row>
    <row r="200" spans="1:32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32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32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61</v>
      </c>
      <c r="U202" s="16" t="s">
        <v>0</v>
      </c>
      <c r="V202" s="16" t="s">
        <v>52</v>
      </c>
      <c r="W202" s="51"/>
    </row>
    <row r="203" spans="1:32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32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32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5393.985999999999</v>
      </c>
      <c r="U205" s="16" t="s">
        <v>34</v>
      </c>
    </row>
    <row r="206" spans="1:32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20.156517750459781</v>
      </c>
      <c r="AF206" s="16" t="s">
        <v>5</v>
      </c>
    </row>
    <row r="207" spans="1:32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682.29125708243976</v>
      </c>
      <c r="S207" s="16" t="s">
        <v>8</v>
      </c>
      <c r="T207" s="16" t="s">
        <v>93</v>
      </c>
    </row>
    <row r="208" spans="1:32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Q208" s="16" t="s">
        <v>12</v>
      </c>
      <c r="R208" s="16">
        <f>+R207*0.75</f>
        <v>511.71844281182985</v>
      </c>
      <c r="S208" s="16" t="s">
        <v>8</v>
      </c>
    </row>
    <row r="209" spans="1:20" ht="18" x14ac:dyDescent="0.35">
      <c r="Q209" s="16" t="s">
        <v>57</v>
      </c>
      <c r="R209" s="16">
        <f>C7*C14-C7*(T204*0.7071/12*T204*0.7071/2/12)*C21/12*0.15</f>
        <v>108.72397455473153</v>
      </c>
      <c r="S209" s="16" t="s">
        <v>8</v>
      </c>
      <c r="T209" s="16" t="s">
        <v>344</v>
      </c>
    </row>
    <row r="210" spans="1:20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Q210" s="16" t="s">
        <v>14</v>
      </c>
      <c r="R210" s="16">
        <f>+R209/R208</f>
        <v>0.21246835263022115</v>
      </c>
    </row>
    <row r="211" spans="1:20" x14ac:dyDescent="0.25">
      <c r="A211" s="37"/>
      <c r="B211" s="37"/>
      <c r="C211" s="37"/>
      <c r="D211" s="37"/>
      <c r="E211" s="37"/>
      <c r="F211" s="37"/>
      <c r="G211" s="37"/>
      <c r="H211" s="37"/>
      <c r="I211" s="37"/>
    </row>
    <row r="212" spans="1:20" x14ac:dyDescent="0.25">
      <c r="A212" s="37"/>
      <c r="B212" s="37"/>
      <c r="C212" s="37"/>
      <c r="D212" s="37"/>
      <c r="E212" s="37"/>
      <c r="F212" s="37"/>
      <c r="G212" s="37"/>
      <c r="H212" s="37"/>
      <c r="I212" s="37"/>
    </row>
    <row r="213" spans="1:20" x14ac:dyDescent="0.25">
      <c r="A213" s="37"/>
      <c r="B213" s="37"/>
      <c r="C213" s="37"/>
      <c r="D213" s="37"/>
      <c r="E213" s="37"/>
      <c r="F213" s="37"/>
      <c r="G213" s="37"/>
      <c r="H213" s="37"/>
      <c r="I213" s="37"/>
    </row>
    <row r="214" spans="1:20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20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20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20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20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19" spans="1:20" x14ac:dyDescent="0.25">
      <c r="A219" s="37"/>
      <c r="B219" s="37"/>
      <c r="C219" s="37"/>
      <c r="D219" s="37"/>
      <c r="E219" s="37"/>
      <c r="F219" s="37"/>
      <c r="G219" s="37"/>
      <c r="H219" s="37"/>
      <c r="I219" s="37"/>
    </row>
    <row r="220" spans="1:20" x14ac:dyDescent="0.25">
      <c r="A220" s="37"/>
      <c r="B220" s="37"/>
      <c r="C220" s="37"/>
      <c r="D220" s="37"/>
      <c r="E220" s="37"/>
      <c r="F220" s="37"/>
      <c r="G220" s="37"/>
      <c r="H220" s="37"/>
      <c r="I220" s="37"/>
    </row>
    <row r="221" spans="1:20" x14ac:dyDescent="0.25">
      <c r="A221" s="37"/>
      <c r="B221" s="37"/>
      <c r="C221" s="37"/>
      <c r="D221" s="37"/>
      <c r="E221" s="37"/>
      <c r="F221" s="37"/>
      <c r="G221" s="37"/>
      <c r="H221" s="37"/>
      <c r="I221" s="37"/>
    </row>
    <row r="222" spans="1:20" x14ac:dyDescent="0.25">
      <c r="A222" s="37"/>
      <c r="B222" s="37"/>
      <c r="C222" s="37"/>
      <c r="D222" s="37"/>
      <c r="E222" s="37"/>
      <c r="F222" s="37"/>
      <c r="G222" s="37"/>
      <c r="H222" s="37"/>
      <c r="I222" s="37"/>
    </row>
    <row r="223" spans="1:20" x14ac:dyDescent="0.25">
      <c r="A223" s="37"/>
      <c r="B223" s="37"/>
      <c r="C223" s="37"/>
      <c r="D223" s="37"/>
      <c r="E223" s="37"/>
      <c r="F223" s="37"/>
      <c r="G223" s="37"/>
      <c r="H223" s="37"/>
      <c r="I223" s="37"/>
    </row>
    <row r="224" spans="1:20" x14ac:dyDescent="0.25">
      <c r="A224" s="37"/>
      <c r="B224" s="37"/>
      <c r="C224" s="37"/>
      <c r="D224" s="37"/>
      <c r="E224" s="37"/>
      <c r="F224" s="37"/>
      <c r="G224" s="37"/>
      <c r="H224" s="37"/>
      <c r="I224" s="37"/>
    </row>
    <row r="225" spans="1:9" x14ac:dyDescent="0.25">
      <c r="A225" s="37"/>
      <c r="B225" s="37"/>
      <c r="C225" s="37"/>
      <c r="D225" s="37"/>
      <c r="E225" s="37"/>
      <c r="F225" s="37"/>
      <c r="G225" s="37"/>
      <c r="H225" s="37"/>
      <c r="I225" s="37"/>
    </row>
    <row r="226" spans="1:9" x14ac:dyDescent="0.25">
      <c r="A226" s="37"/>
      <c r="B226" s="37"/>
      <c r="C226" s="37"/>
      <c r="D226" s="37"/>
      <c r="E226" s="37"/>
      <c r="F226" s="37"/>
      <c r="G226" s="37"/>
      <c r="H226" s="37"/>
      <c r="I226" s="37"/>
    </row>
    <row r="227" spans="1:9" x14ac:dyDescent="0.25">
      <c r="A227" s="37"/>
      <c r="B227" s="37"/>
      <c r="C227" s="37"/>
      <c r="D227" s="37"/>
      <c r="E227" s="37"/>
      <c r="F227" s="37"/>
      <c r="G227" s="37"/>
      <c r="H227" s="37"/>
      <c r="I227" s="37"/>
    </row>
    <row r="228" spans="1:9" x14ac:dyDescent="0.25">
      <c r="A228" s="37"/>
      <c r="B228" s="37"/>
      <c r="C228" s="37"/>
      <c r="D228" s="37"/>
      <c r="E228" s="37"/>
      <c r="F228" s="37"/>
      <c r="G228" s="37"/>
      <c r="H228" s="37"/>
      <c r="I228" s="37"/>
    </row>
    <row r="229" spans="1:9" x14ac:dyDescent="0.25">
      <c r="A229" s="37"/>
      <c r="B229" s="37"/>
      <c r="C229" s="37"/>
      <c r="D229" s="37"/>
      <c r="E229" s="37"/>
      <c r="F229" s="37"/>
      <c r="G229" s="37"/>
      <c r="H229" s="37"/>
      <c r="I229" s="37"/>
    </row>
    <row r="230" spans="1:9" x14ac:dyDescent="0.25">
      <c r="A230" s="37"/>
      <c r="B230" s="37"/>
      <c r="C230" s="37"/>
      <c r="D230" s="37"/>
      <c r="E230" s="37"/>
      <c r="F230" s="37"/>
      <c r="G230" s="37"/>
      <c r="H230" s="37"/>
      <c r="I230" s="37"/>
    </row>
    <row r="231" spans="1:9" x14ac:dyDescent="0.25">
      <c r="A231" s="37"/>
      <c r="B231" s="37"/>
      <c r="C231" s="37"/>
      <c r="D231" s="37"/>
      <c r="E231" s="37"/>
      <c r="F231" s="37"/>
      <c r="G231" s="37"/>
      <c r="H231" s="37"/>
      <c r="I231" s="37"/>
    </row>
    <row r="232" spans="1:9" x14ac:dyDescent="0.25">
      <c r="A232" s="37"/>
      <c r="B232" s="37"/>
      <c r="C232" s="37"/>
      <c r="D232" s="37"/>
      <c r="E232" s="37"/>
      <c r="F232" s="37"/>
      <c r="G232" s="37"/>
      <c r="H232" s="37"/>
      <c r="I232" s="37"/>
    </row>
    <row r="233" spans="1:9" x14ac:dyDescent="0.25">
      <c r="A233" s="37"/>
      <c r="B233" s="37"/>
      <c r="C233" s="37"/>
      <c r="D233" s="37"/>
      <c r="E233" s="37"/>
      <c r="F233" s="37"/>
      <c r="G233" s="37"/>
      <c r="H233" s="37"/>
      <c r="I233" s="37"/>
    </row>
    <row r="234" spans="1:9" x14ac:dyDescent="0.25">
      <c r="A234" s="37"/>
      <c r="B234" s="37"/>
      <c r="C234" s="37"/>
      <c r="D234" s="37"/>
      <c r="E234" s="37"/>
      <c r="F234" s="37"/>
      <c r="G234" s="37"/>
      <c r="H234" s="37"/>
      <c r="I234" s="37"/>
    </row>
    <row r="235" spans="1:9" x14ac:dyDescent="0.25">
      <c r="A235" s="37"/>
      <c r="B235" s="37"/>
      <c r="C235" s="37"/>
      <c r="D235" s="37"/>
      <c r="E235" s="37"/>
      <c r="F235" s="37"/>
      <c r="G235" s="37"/>
      <c r="H235" s="37"/>
      <c r="I235" s="37"/>
    </row>
    <row r="236" spans="1:9" x14ac:dyDescent="0.25">
      <c r="A236" s="37"/>
      <c r="B236" s="37"/>
      <c r="C236" s="37"/>
      <c r="D236" s="37"/>
      <c r="E236" s="37"/>
      <c r="F236" s="37"/>
      <c r="G236" s="37"/>
      <c r="H236" s="37"/>
      <c r="I236" s="37"/>
    </row>
    <row r="237" spans="1:9" x14ac:dyDescent="0.25">
      <c r="A237" s="37"/>
      <c r="B237" s="37"/>
      <c r="C237" s="37"/>
      <c r="D237" s="37"/>
      <c r="E237" s="37"/>
      <c r="F237" s="37"/>
      <c r="G237" s="37"/>
      <c r="H237" s="37"/>
      <c r="I237" s="37"/>
    </row>
    <row r="238" spans="1:9" x14ac:dyDescent="0.25">
      <c r="A238" s="37"/>
      <c r="B238" s="37"/>
      <c r="C238" s="37"/>
      <c r="D238" s="37"/>
      <c r="E238" s="37"/>
      <c r="F238" s="37"/>
      <c r="G238" s="37"/>
      <c r="H238" s="37"/>
      <c r="I238" s="37"/>
    </row>
    <row r="239" spans="1:9" x14ac:dyDescent="0.25">
      <c r="A239" s="37"/>
      <c r="B239" s="37"/>
      <c r="C239" s="37"/>
      <c r="D239" s="37"/>
      <c r="E239" s="37"/>
      <c r="F239" s="37"/>
      <c r="G239" s="37"/>
      <c r="H239" s="37"/>
      <c r="I239" s="37"/>
    </row>
    <row r="240" spans="1:9" x14ac:dyDescent="0.25">
      <c r="A240" s="37"/>
      <c r="B240" s="37"/>
      <c r="C240" s="37"/>
      <c r="D240" s="37"/>
      <c r="E240" s="37"/>
      <c r="F240" s="37"/>
      <c r="G240" s="37"/>
      <c r="H240" s="37"/>
      <c r="I240" s="37"/>
    </row>
    <row r="241" spans="1:9" x14ac:dyDescent="0.25">
      <c r="A241" s="37"/>
      <c r="B241" s="37"/>
      <c r="C241" s="37"/>
      <c r="D241" s="37"/>
      <c r="E241" s="37"/>
      <c r="F241" s="37"/>
      <c r="G241" s="37"/>
      <c r="H241" s="37"/>
      <c r="I241" s="37"/>
    </row>
    <row r="242" spans="1:9" x14ac:dyDescent="0.25">
      <c r="A242" s="37"/>
      <c r="B242" s="37"/>
      <c r="C242" s="37"/>
      <c r="D242" s="37"/>
      <c r="E242" s="37"/>
      <c r="F242" s="37"/>
      <c r="G242" s="37"/>
      <c r="H242" s="37"/>
      <c r="I242" s="37"/>
    </row>
    <row r="243" spans="1:9" x14ac:dyDescent="0.25">
      <c r="A243" s="37"/>
      <c r="B243" s="37"/>
      <c r="C243" s="37"/>
      <c r="D243" s="37"/>
      <c r="E243" s="37"/>
      <c r="F243" s="37"/>
      <c r="G243" s="37"/>
      <c r="H243" s="37"/>
      <c r="I243" s="37"/>
    </row>
    <row r="244" spans="1:9" x14ac:dyDescent="0.25">
      <c r="A244" s="37"/>
      <c r="B244" s="37"/>
      <c r="C244" s="37"/>
      <c r="D244" s="37"/>
      <c r="E244" s="37"/>
      <c r="F244" s="37"/>
      <c r="G244" s="37"/>
      <c r="H244" s="37"/>
      <c r="I244" s="37"/>
    </row>
    <row r="245" spans="1:9" x14ac:dyDescent="0.25">
      <c r="A245" s="37"/>
      <c r="B245" s="37"/>
      <c r="C245" s="37"/>
      <c r="D245" s="37"/>
      <c r="E245" s="37"/>
      <c r="F245" s="37"/>
      <c r="G245" s="37"/>
      <c r="H245" s="37"/>
      <c r="I245" s="37"/>
    </row>
    <row r="246" spans="1:9" x14ac:dyDescent="0.25">
      <c r="A246" s="37"/>
      <c r="B246" s="37"/>
      <c r="C246" s="37"/>
      <c r="D246" s="37"/>
      <c r="E246" s="37"/>
      <c r="F246" s="37"/>
      <c r="G246" s="37"/>
      <c r="H246" s="37"/>
      <c r="I246" s="37"/>
    </row>
    <row r="247" spans="1:9" x14ac:dyDescent="0.25">
      <c r="A247" s="37"/>
      <c r="B247" s="37"/>
      <c r="C247" s="37"/>
      <c r="D247" s="37"/>
      <c r="E247" s="37"/>
      <c r="F247" s="37"/>
      <c r="G247" s="37"/>
      <c r="H247" s="37"/>
      <c r="I247" s="37"/>
    </row>
    <row r="248" spans="1:9" x14ac:dyDescent="0.25">
      <c r="A248" s="37"/>
      <c r="B248" s="37"/>
      <c r="C248" s="37"/>
      <c r="D248" s="37"/>
      <c r="E248" s="37"/>
      <c r="F248" s="37"/>
      <c r="G248" s="37"/>
      <c r="H248" s="37"/>
      <c r="I248" s="37"/>
    </row>
    <row r="249" spans="1:9" x14ac:dyDescent="0.25">
      <c r="A249" s="37"/>
      <c r="B249" s="37"/>
      <c r="C249" s="37"/>
      <c r="D249" s="37"/>
      <c r="E249" s="37"/>
      <c r="F249" s="37"/>
      <c r="G249" s="37"/>
      <c r="H249" s="37"/>
      <c r="I249" s="37"/>
    </row>
    <row r="250" spans="1:9" x14ac:dyDescent="0.25">
      <c r="A250" s="37"/>
      <c r="B250" s="37"/>
      <c r="C250" s="37"/>
      <c r="D250" s="37"/>
      <c r="E250" s="37"/>
      <c r="F250" s="37"/>
      <c r="G250" s="37"/>
      <c r="H250" s="37"/>
      <c r="I250" s="37"/>
    </row>
    <row r="251" spans="1:9" x14ac:dyDescent="0.25">
      <c r="A251" s="37"/>
      <c r="B251" s="37"/>
      <c r="C251" s="37"/>
      <c r="D251" s="37"/>
      <c r="E251" s="37"/>
      <c r="F251" s="37"/>
      <c r="G251" s="37"/>
      <c r="H251" s="37"/>
      <c r="I251" s="37"/>
    </row>
    <row r="252" spans="1:9" x14ac:dyDescent="0.25">
      <c r="A252" s="37"/>
      <c r="B252" s="37"/>
      <c r="C252" s="37"/>
      <c r="D252" s="37"/>
      <c r="E252" s="37"/>
      <c r="F252" s="37"/>
      <c r="G252" s="37"/>
      <c r="H252" s="37"/>
      <c r="I252" s="37"/>
    </row>
    <row r="253" spans="1:9" x14ac:dyDescent="0.25">
      <c r="A253" s="37"/>
      <c r="B253" s="37"/>
      <c r="C253" s="37"/>
      <c r="D253" s="37"/>
      <c r="E253" s="37"/>
      <c r="F253" s="37"/>
      <c r="G253" s="37"/>
      <c r="H253" s="37"/>
      <c r="I253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16383" man="1"/>
    <brk id="85" max="16383" man="1"/>
    <brk id="126" max="16383" man="1"/>
    <brk id="167" max="16383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266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37"/>
      <c r="C6" s="37"/>
      <c r="D6" s="37"/>
      <c r="E6" s="37"/>
      <c r="F6" s="37"/>
      <c r="G6" s="37"/>
      <c r="H6" s="37"/>
      <c r="I6" s="38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21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21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21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18.678525000000004</v>
      </c>
    </row>
    <row r="20" spans="1:21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6" t="s">
        <v>258</v>
      </c>
      <c r="F20" s="43">
        <f>+C22-2*U26</f>
        <v>11.063007999999998</v>
      </c>
      <c r="G20" s="39" t="s">
        <v>394</v>
      </c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21" ht="18" x14ac:dyDescent="0.35">
      <c r="A21" s="34"/>
      <c r="B21" s="36" t="s">
        <v>397</v>
      </c>
      <c r="C21" s="84">
        <v>51</v>
      </c>
      <c r="D21" s="39" t="s">
        <v>0</v>
      </c>
      <c r="E21" s="36" t="s">
        <v>259</v>
      </c>
      <c r="F21" s="63">
        <f>2*S27</f>
        <v>13.443999999999999</v>
      </c>
      <c r="G21" s="39" t="s">
        <v>394</v>
      </c>
      <c r="H21" s="37"/>
      <c r="I21" s="38"/>
      <c r="J21" s="16" t="s">
        <v>33</v>
      </c>
      <c r="L21" s="16">
        <f>+IF(C24&lt;9,(C24/8),IF(C24=9,1.128,IF(C24=10,1.27,IF(C24=11,1.41,IF(C24=14,1.693,0)))))</f>
        <v>1.27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21" ht="17.25" x14ac:dyDescent="0.25">
      <c r="A22" s="34"/>
      <c r="B22" s="36" t="s">
        <v>398</v>
      </c>
      <c r="C22" s="121">
        <f>2*C19/12+4*C18*0.866</f>
        <v>23.283999999999999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1.2667313375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21" x14ac:dyDescent="0.25">
      <c r="A23" s="34"/>
      <c r="B23" s="36" t="s">
        <v>399</v>
      </c>
      <c r="C23" s="122">
        <f>2*C19/12+3*C18</f>
        <v>20.5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21" x14ac:dyDescent="0.25">
      <c r="A24" s="34"/>
      <c r="B24" s="36" t="s">
        <v>400</v>
      </c>
      <c r="C24" s="81">
        <v>10</v>
      </c>
      <c r="D24" s="39"/>
      <c r="E24" s="37"/>
      <c r="F24" s="37"/>
      <c r="G24" s="37"/>
      <c r="H24" s="37"/>
      <c r="I24" s="38"/>
    </row>
    <row r="25" spans="1:21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21" ht="18" x14ac:dyDescent="0.35">
      <c r="A26" s="34"/>
      <c r="B26" s="36" t="s">
        <v>402</v>
      </c>
      <c r="C26" s="123">
        <f>+C21-C15-C16-P21-0.5*L21</f>
        <v>39.955000000000005</v>
      </c>
      <c r="D26" s="39" t="s">
        <v>0</v>
      </c>
      <c r="E26" s="37"/>
      <c r="F26" s="37"/>
      <c r="G26" s="37"/>
      <c r="H26" s="37"/>
      <c r="I26" s="38"/>
      <c r="O26" s="113"/>
      <c r="P26" s="113" t="s">
        <v>256</v>
      </c>
      <c r="Q26" s="113">
        <f>+C22/2</f>
        <v>11.641999999999999</v>
      </c>
      <c r="R26" s="113" t="s">
        <v>260</v>
      </c>
      <c r="S26" s="113">
        <f>+Q26</f>
        <v>11.641999999999999</v>
      </c>
      <c r="T26" s="113" t="s">
        <v>263</v>
      </c>
      <c r="U26" s="113">
        <f>+U27*2*0.866</f>
        <v>6.1104960000000004</v>
      </c>
    </row>
    <row r="27" spans="1:21" ht="18" x14ac:dyDescent="0.35">
      <c r="A27" s="34"/>
      <c r="B27" s="36" t="s">
        <v>403</v>
      </c>
      <c r="C27" s="61">
        <f>+C21-C15-C16-P21/2</f>
        <v>41.295000000000002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  <c r="O27" s="113"/>
      <c r="P27" s="113" t="s">
        <v>257</v>
      </c>
      <c r="Q27" s="113">
        <f>+C18-0.5774*C19/12</f>
        <v>5.2782499999999999</v>
      </c>
      <c r="R27" s="113" t="s">
        <v>261</v>
      </c>
      <c r="S27" s="113">
        <f>+Q27+1.155*C19/12</f>
        <v>6.7219999999999995</v>
      </c>
      <c r="T27" s="113" t="s">
        <v>262</v>
      </c>
      <c r="U27" s="113">
        <f>+(C23-F21)/2</f>
        <v>3.5280000000000005</v>
      </c>
    </row>
    <row r="28" spans="1:21" ht="18" x14ac:dyDescent="0.35">
      <c r="A28" s="34"/>
      <c r="B28" s="36" t="s">
        <v>404</v>
      </c>
      <c r="C28" s="45">
        <f>+C21-C15-C16-1</f>
        <v>41</v>
      </c>
      <c r="D28" s="39" t="s">
        <v>0</v>
      </c>
      <c r="E28" s="37"/>
      <c r="F28" s="37"/>
      <c r="G28" s="37"/>
      <c r="H28" s="37"/>
      <c r="I28" s="38"/>
      <c r="O28" s="113"/>
      <c r="P28" s="113"/>
      <c r="Q28" s="113"/>
      <c r="R28" s="113"/>
      <c r="S28" s="113"/>
      <c r="T28" s="113"/>
      <c r="U28" s="113"/>
    </row>
    <row r="29" spans="1:21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M29" s="16">
        <f>+IF(C9="Round",C17,L27)</f>
        <v>20</v>
      </c>
    </row>
    <row r="30" spans="1:21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21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21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41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20.5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61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7856.8915000000006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+IF(B131&gt;B129,"NA",IF(G140&lt;1,"OK","NG"))</f>
        <v>NA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13.656775797029058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">
        <v>227</v>
      </c>
      <c r="I37" s="38"/>
      <c r="J37" s="16" t="s">
        <v>7</v>
      </c>
      <c r="K37" s="16">
        <f>+K36*M35/1000</f>
        <v>1987.6537975053463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1490.7403481290098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107.29980567708333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7.197752835478867E-2</v>
      </c>
    </row>
    <row r="41" spans="1:25" ht="18" x14ac:dyDescent="0.35">
      <c r="A41" s="34"/>
      <c r="B41" s="59" t="s">
        <v>22</v>
      </c>
      <c r="C41" s="60">
        <f>C7*17*C14-C7*C22*C23*C21/12*0.15+C7*2*U26*U27*C21/12*0.15</f>
        <v>1733.1095329715201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20.815316073576209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21</v>
      </c>
      <c r="D43" s="39" t="s">
        <v>0</v>
      </c>
      <c r="E43" s="115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C7*C14*(2*(0.5*C18*12+C12-C43/4))+C7*C14*(3*(1*C18*12+C12-C43/4))+C7*C14*(2*(1.5*C18*12+C12-C43/4))-C7*(C23/2-C43/12/4)*C22*C21/12*0.15*(C23/2-C43/12/4)*12/2+C7*U26*U27*C21/12*0.15*(C23*12/2-U27*12/3)</f>
        <v>51169.886862336432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2197.6415934691822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39.955000000000005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1.0512613336521142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24.477568892755826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32.636758523674438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35.302866603451804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37.212488800000017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37.212488800000017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25.649654399999999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32.636758523674438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1.1358048780487804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18.142533333333336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0.93641512881417865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3.6349999999999998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26.033971957743766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3.6349999999999998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32.636758523674438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3.6349999999999998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36.144833655724575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109.5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25.764546559719445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16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36.144833655724575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109.5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C7*C14*(4*(0.866*C18*12+C12-C43/4))+C7*C14*(3*(2*0.866*C18*12+C12-C43/4))-C7*(C22/2-C43/12/4)*C23*C21/12*0.15*(C22/2-C43/12/4)*12/2+C7*U26*U27*C21/12*0.15*(C22*12/2-U26*12/3)</f>
        <v>64578.703603580456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3150.1806635892904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41.295000000000002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17.042142857142856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1.4638114478934625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30.008134681815982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40.010846242421309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32.124218970256692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33.861899999999999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33.861899999999999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22.582800000000002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33.861899999999999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126.20400000000001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126.20400000000001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21.686827487789174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15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31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41</v>
      </c>
      <c r="C87" s="39" t="s">
        <v>0</v>
      </c>
      <c r="D87" s="37"/>
      <c r="E87" s="37"/>
      <c r="F87" s="37"/>
      <c r="G87" s="70"/>
      <c r="H87" s="37"/>
      <c r="I87" s="38"/>
      <c r="J87" s="16" t="s">
        <v>238</v>
      </c>
      <c r="K87" s="51"/>
      <c r="L87" s="51"/>
      <c r="M87" s="51"/>
      <c r="N87" s="51"/>
      <c r="O87" s="51">
        <f>+C18*12*0.5+C12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20.5</v>
      </c>
      <c r="C88" s="39" t="s">
        <v>0</v>
      </c>
      <c r="D88" s="37"/>
      <c r="E88" s="37"/>
      <c r="F88" s="37"/>
      <c r="G88" s="70"/>
      <c r="H88" s="37"/>
      <c r="I88" s="38"/>
      <c r="J88" s="16" t="s">
        <v>249</v>
      </c>
      <c r="K88" s="51"/>
      <c r="L88" s="51"/>
      <c r="M88" s="51"/>
      <c r="N88" s="51"/>
      <c r="O88" s="51">
        <f>+C18*12+C12</f>
        <v>75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+IF(M86&gt;O91,0,IF(M86&gt;O89,6,IF(M86&gt;O88,10,IF(M86&gt;O90,12,16))))</f>
        <v>16</v>
      </c>
      <c r="F89" s="37"/>
      <c r="G89" s="37"/>
      <c r="H89" s="37"/>
      <c r="I89" s="38"/>
      <c r="J89" s="16" t="s">
        <v>264</v>
      </c>
      <c r="K89" s="51"/>
      <c r="L89" s="51"/>
      <c r="M89" s="51"/>
      <c r="N89" s="51"/>
      <c r="O89" s="51">
        <f>1.5*C18*12+C12</f>
        <v>111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239</v>
      </c>
      <c r="K90" s="51"/>
      <c r="L90" s="51"/>
      <c r="M90" s="51"/>
      <c r="N90" s="51"/>
      <c r="O90" s="51">
        <f>+C18*12*0.866+C12</f>
        <v>65.352000000000004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248</v>
      </c>
      <c r="C91" s="39" t="s">
        <v>0</v>
      </c>
      <c r="D91" s="37"/>
      <c r="E91" s="37"/>
      <c r="F91" s="37"/>
      <c r="G91" s="37"/>
      <c r="H91" s="37"/>
      <c r="I91" s="38"/>
      <c r="J91" s="16" t="s">
        <v>240</v>
      </c>
      <c r="K91" s="51"/>
      <c r="L91" s="51"/>
      <c r="M91" s="51"/>
      <c r="N91" s="51"/>
      <c r="O91" s="51">
        <f>+C18*12*2*0.866+C12</f>
        <v>127.70399999999999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2572.3231398873663</v>
      </c>
      <c r="C92" s="39" t="s">
        <v>18</v>
      </c>
      <c r="D92" s="37" t="s">
        <v>15</v>
      </c>
      <c r="E92" s="37"/>
      <c r="F92" s="37"/>
      <c r="G92" s="37"/>
      <c r="H92" s="37"/>
      <c r="I92" s="38"/>
      <c r="L92" s="16" t="s">
        <v>83</v>
      </c>
      <c r="O92" s="16">
        <f>+B90</f>
        <v>252.98221281347034</v>
      </c>
      <c r="P92" s="16" t="s">
        <v>5</v>
      </c>
    </row>
    <row r="93" spans="1:17" ht="18" x14ac:dyDescent="0.35">
      <c r="A93" s="59" t="s">
        <v>12</v>
      </c>
      <c r="B93" s="68">
        <f>+B92*0.75</f>
        <v>1929.2423549155246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+E89*C7*C14-C7*0.15*C22*C23*C21/12+C7*0.15*(2*M86)/12*(2*M86)/12*C21/12+C7*2*U26*U27*C21/12*0.15</f>
        <v>1632.3378663048534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0.84610306328067753</v>
      </c>
      <c r="C95" s="37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51.5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41</v>
      </c>
      <c r="C99" s="39" t="s">
        <v>0</v>
      </c>
      <c r="D99" s="37"/>
      <c r="E99" s="37"/>
      <c r="F99" s="37"/>
      <c r="G99" s="37"/>
      <c r="H99" s="37"/>
      <c r="I99" s="38"/>
      <c r="J99" s="16" t="s">
        <v>242</v>
      </c>
      <c r="K99" s="51"/>
      <c r="L99" s="51"/>
      <c r="M99" s="51"/>
      <c r="N99" s="51"/>
      <c r="O99" s="51">
        <f>0.866*C18*12+C12</f>
        <v>65.352000000000004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+IF(M98&gt;O100,0,IF(M98&gt;O99,3,7))</f>
        <v>7</v>
      </c>
      <c r="F100" s="37"/>
      <c r="G100" s="37"/>
      <c r="H100" s="37"/>
      <c r="I100" s="38"/>
      <c r="J100" s="16" t="s">
        <v>243</v>
      </c>
      <c r="K100" s="51"/>
      <c r="L100" s="51"/>
      <c r="M100" s="51"/>
      <c r="N100" s="51"/>
      <c r="O100" s="51">
        <f>2*0.866*C18*12+C12</f>
        <v>127.70399999999999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K101" s="51"/>
      <c r="L101" s="51"/>
      <c r="M101" s="51"/>
      <c r="N101" s="51"/>
      <c r="O101" s="51"/>
    </row>
    <row r="102" spans="1:17" x14ac:dyDescent="0.25">
      <c r="A102" s="59" t="s">
        <v>61</v>
      </c>
      <c r="B102" s="68">
        <f>+M105*12*B99</f>
        <v>10086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1275.7892992183311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956.84197441374829</v>
      </c>
      <c r="C104" s="39" t="s">
        <v>18</v>
      </c>
      <c r="D104" s="37"/>
      <c r="E104" s="37"/>
      <c r="F104" s="37"/>
      <c r="G104" s="37"/>
      <c r="H104" s="37"/>
      <c r="I104" s="38"/>
      <c r="L104" s="16" t="s">
        <v>268</v>
      </c>
      <c r="M104" s="16">
        <f>+C23</f>
        <v>20.5</v>
      </c>
    </row>
    <row r="105" spans="1:17" ht="18" x14ac:dyDescent="0.35">
      <c r="A105" s="59" t="s">
        <v>57</v>
      </c>
      <c r="B105" s="68">
        <f>+E100*C14*C7-C7*0.15*C22*C23*C21/12*((C22/2-M98/12)/C22)+C7*U26*U27*C21/12*0.15</f>
        <v>764.29351648576005</v>
      </c>
      <c r="C105" s="39" t="s">
        <v>18</v>
      </c>
      <c r="D105" s="37" t="s">
        <v>131</v>
      </c>
      <c r="E105" s="37"/>
      <c r="F105" s="37"/>
      <c r="G105" s="37"/>
      <c r="H105" s="37"/>
      <c r="I105" s="38"/>
      <c r="L105" s="16" t="s">
        <v>267</v>
      </c>
      <c r="M105" s="16">
        <f>+IF(M98/12&lt;F20/2,C23,C23-2*(M98/12-F20/2)/0.866*0.5)</f>
        <v>20.5</v>
      </c>
    </row>
    <row r="106" spans="1:17" ht="18" x14ac:dyDescent="0.35">
      <c r="A106" s="59" t="s">
        <v>14</v>
      </c>
      <c r="B106" s="63">
        <f>+B105/B104</f>
        <v>0.79876671062015059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51.5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41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250</v>
      </c>
      <c r="K110" s="51"/>
      <c r="L110" s="51"/>
      <c r="M110" s="51"/>
      <c r="N110" s="51"/>
      <c r="O110" s="51">
        <f>0.5*C18*12+C12</f>
        <v>39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+IF(M109&gt;O112,0,IF(M109&gt;O111,2,IF(M109&gt;O110,5,7)))</f>
        <v>5</v>
      </c>
      <c r="F111" s="37"/>
      <c r="G111" s="37"/>
      <c r="H111" s="37"/>
      <c r="I111" s="38"/>
      <c r="J111" s="16" t="s">
        <v>251</v>
      </c>
      <c r="K111" s="51"/>
      <c r="L111" s="51"/>
      <c r="M111" s="51"/>
      <c r="N111" s="51"/>
      <c r="O111" s="51">
        <f>C18*12+C12</f>
        <v>75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J112" s="16" t="s">
        <v>265</v>
      </c>
      <c r="K112" s="51"/>
      <c r="L112" s="51"/>
      <c r="M112" s="51"/>
      <c r="N112" s="51"/>
      <c r="O112" s="51">
        <f>1.5*C18*12+C12</f>
        <v>111</v>
      </c>
      <c r="P112" s="16" t="s">
        <v>0</v>
      </c>
      <c r="Q112" s="16" t="s">
        <v>119</v>
      </c>
    </row>
    <row r="113" spans="1:23" x14ac:dyDescent="0.25">
      <c r="A113" s="59" t="s">
        <v>61</v>
      </c>
      <c r="B113" s="68">
        <f>+M116*12*B110</f>
        <v>11455.728000000001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1449.0477094146156</v>
      </c>
      <c r="C114" s="39" t="s">
        <v>18</v>
      </c>
      <c r="D114" s="37" t="s">
        <v>62</v>
      </c>
      <c r="E114" s="37"/>
      <c r="F114" s="37"/>
      <c r="G114" s="37"/>
      <c r="H114" s="37"/>
      <c r="I114" s="38"/>
      <c r="L114" s="16" t="s">
        <v>83</v>
      </c>
      <c r="O114" s="16">
        <f>+B112</f>
        <v>126.49110640673517</v>
      </c>
      <c r="P114" s="16" t="s">
        <v>5</v>
      </c>
    </row>
    <row r="115" spans="1:23" ht="18" x14ac:dyDescent="0.35">
      <c r="A115" s="59" t="s">
        <v>12</v>
      </c>
      <c r="B115" s="68">
        <f>+B114*0.75</f>
        <v>1086.7857820609618</v>
      </c>
      <c r="C115" s="39" t="s">
        <v>18</v>
      </c>
      <c r="D115" s="37"/>
      <c r="E115" s="37"/>
      <c r="F115" s="37"/>
      <c r="G115" s="37"/>
      <c r="H115" s="37"/>
      <c r="I115" s="38"/>
      <c r="L115" s="16" t="s">
        <v>268</v>
      </c>
      <c r="M115" s="16">
        <f>+C22</f>
        <v>23.283999999999999</v>
      </c>
    </row>
    <row r="116" spans="1:23" ht="18" x14ac:dyDescent="0.35">
      <c r="A116" s="59" t="s">
        <v>57</v>
      </c>
      <c r="B116" s="68">
        <f>+E111*C14*C7-C7*0.15*C22*C23*C21/12*((C23/2-M109/12)/C23)+C7*U26*U27*C21/12*0.15</f>
        <v>520.48047648576005</v>
      </c>
      <c r="C116" s="39" t="s">
        <v>18</v>
      </c>
      <c r="D116" s="37" t="s">
        <v>131</v>
      </c>
      <c r="E116" s="37"/>
      <c r="F116" s="37"/>
      <c r="G116" s="37"/>
      <c r="H116" s="37"/>
      <c r="I116" s="38"/>
      <c r="L116" s="16" t="s">
        <v>267</v>
      </c>
      <c r="M116" s="16">
        <f>+IF(M109/12&lt;F21/2,C22,C22-2*(M109/12-F21/2)/0.5*0.866)</f>
        <v>23.283999999999999</v>
      </c>
    </row>
    <row r="117" spans="1:23" ht="18" x14ac:dyDescent="0.35">
      <c r="A117" s="59" t="s">
        <v>14</v>
      </c>
      <c r="B117" s="63">
        <f>+B116/B115</f>
        <v>0.47891726693252268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41.676000000000002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1564.25531</v>
      </c>
      <c r="W127" s="37" t="s">
        <v>8</v>
      </c>
    </row>
    <row r="128" spans="1:23" ht="18.75" x14ac:dyDescent="0.35">
      <c r="A128" s="59" t="s">
        <v>1</v>
      </c>
      <c r="B128" s="43">
        <f>+B87</f>
        <v>41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20.5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16</v>
      </c>
      <c r="G130" s="37"/>
      <c r="H130" s="37"/>
      <c r="I130" s="38"/>
      <c r="Q130" s="37" t="s">
        <v>16</v>
      </c>
      <c r="R130" s="16">
        <f>+C18*12*0.866-C43/2+C12</f>
        <v>54.851999999999997</v>
      </c>
      <c r="S130" s="16" t="s">
        <v>0</v>
      </c>
      <c r="U130" s="37" t="s">
        <v>11</v>
      </c>
      <c r="V130" s="37">
        <f>+B135</f>
        <v>248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28.5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Q131" s="37" t="s">
        <v>13</v>
      </c>
      <c r="R131" s="37">
        <f>+C14*E130*C7-C7*0.15*C22*C23*C21/12+C7*0.15*(C43)/12*(C43)/12*C21/12+C7*2*U26*U27*C21/12*0.15</f>
        <v>1608.2332829715201</v>
      </c>
      <c r="S131" s="37" t="s">
        <v>8</v>
      </c>
      <c r="T131" s="37"/>
      <c r="U131" s="37" t="s">
        <v>2</v>
      </c>
      <c r="V131" s="37">
        <f>+B136</f>
        <v>84</v>
      </c>
      <c r="W131" s="37" t="s">
        <v>0</v>
      </c>
    </row>
    <row r="132" spans="1:23" ht="18.75" x14ac:dyDescent="0.35">
      <c r="A132" s="59" t="s">
        <v>57</v>
      </c>
      <c r="B132" s="68">
        <f>+C14*E130*C7-C7*0.15*C22*C23*C21/12+C7*0.15*(C43)/12*(C43)/12*C21/12+C7*2*U26*U27*C21/12*0.15</f>
        <v>1608.2332829715201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5.8089845017573207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1265.2995577236543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248</v>
      </c>
      <c r="S134" s="37" t="s">
        <v>0</v>
      </c>
      <c r="T134" s="37"/>
      <c r="U134" s="34" t="s">
        <v>12</v>
      </c>
      <c r="V134" s="37">
        <f>+V133*0.75</f>
        <v>948.97466829274072</v>
      </c>
      <c r="W134" s="37" t="s">
        <v>8</v>
      </c>
    </row>
    <row r="135" spans="1:23" ht="18" x14ac:dyDescent="0.35">
      <c r="A135" s="59" t="s">
        <v>11</v>
      </c>
      <c r="B135" s="61">
        <f>4*(B128+C43)</f>
        <v>248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537.24376355208165</v>
      </c>
      <c r="P135" s="16" t="s">
        <v>5</v>
      </c>
      <c r="Q135" s="37" t="s">
        <v>2</v>
      </c>
      <c r="R135" s="37">
        <f>+B136</f>
        <v>84</v>
      </c>
      <c r="S135" s="37" t="s">
        <v>0</v>
      </c>
      <c r="T135" s="37"/>
      <c r="U135" s="34" t="s">
        <v>14</v>
      </c>
      <c r="V135" s="37">
        <f>+V127/V134</f>
        <v>1.6483636099730503</v>
      </c>
      <c r="W135" s="37"/>
    </row>
    <row r="136" spans="1:23" ht="18" x14ac:dyDescent="0.35">
      <c r="A136" s="59" t="s">
        <v>2</v>
      </c>
      <c r="B136" s="61">
        <f>4*C43</f>
        <v>84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4.4136082202150897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8.4945697577276533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6.4540889889713711</v>
      </c>
      <c r="Q137" s="37" t="s">
        <v>7</v>
      </c>
      <c r="R137" s="37">
        <f>+R136*(C10*1000)^0.5*R135*B128/1000</f>
        <v>961.36192604993448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1850.2675216733689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1405.8147238616516</v>
      </c>
      <c r="Q138" s="37" t="s">
        <v>12</v>
      </c>
      <c r="R138" s="37">
        <f>+R137*0.75</f>
        <v>721.02144453745086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1387.7006412550268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1.1439866546239053</v>
      </c>
      <c r="Q139" s="37" t="s">
        <v>14</v>
      </c>
      <c r="R139" s="37">
        <f>+R131/R138</f>
        <v>2.230492997338287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1.1589194637231306</v>
      </c>
      <c r="C140" s="37"/>
      <c r="D140" s="130" t="s">
        <v>233</v>
      </c>
      <c r="F140" s="16" t="s">
        <v>14</v>
      </c>
      <c r="G140" s="80">
        <f>+(B140+R139)/2</f>
        <v>1.6947062305307088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41.295000000000002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+C18*12*0.866-C43/2+C12</f>
        <v>54.851999999999997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1.328296403922993</v>
      </c>
      <c r="C146" s="39"/>
      <c r="D146" s="70" t="str">
        <f>+IF(B146&lt;1,"OK, this limit state should be checked","Limit state not applicable")</f>
        <v>Limit state not applicable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7*C7*C14-C7*0.15*C22*C23*C21/12*((C22/2-C43/2/12)/C22)+C7*U26*U27*C21/12*0.15</f>
        <v>692.85101648576017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C7*C14*(4*B145)+C7*C14*(3*(B145+0.866*C18*12))-C7*0.15*C22*C23*C21/12*((C22/2-C43/2/12)/C22)*(C22/2-C43/2/12)*12/2+C7*U26*U27*C21/12*0.15*(C22*12/2-U26*12/3)</f>
        <v>61080.69177420545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-170.29511551955642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0.46841779119898724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2.1348463247741862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-2.6926021972164338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-1297.4661387476251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-0.5340031587680063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39.955000000000005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+C18*12/2-C43/2+C12</f>
        <v>28.5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0.71330246527343255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8*C7*C14-C7*0.15*C22*C23*C21/12*((C23/2-C43/2/12)/C23)</f>
        <v>801.34675000000004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C7*C14*(4*B158)+C7*C14*(4*(B158+C18*12))-C7*0.15*C22*C23*C21/12*((C23/2-C43/2/12)/C23)*(C23/2-C43/2/12)*12/2</f>
        <v>53523.754687499997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-118.02696209182908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0.5981981193805801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1.6716869672466979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-1.8661701276026563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-988.21732611154846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-0.81090133599777148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41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20.5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+C23*C22*C21/12/27-2*U26*U27*C21/12/27</f>
        <v>68.34729429451852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61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7856.8915000000006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13.656775797029058</v>
      </c>
      <c r="AF172" s="16" t="s">
        <v>5</v>
      </c>
    </row>
    <row r="173" spans="1:32" ht="18.75" x14ac:dyDescent="0.35">
      <c r="A173" s="34"/>
      <c r="B173" s="40">
        <f>+C66</f>
        <v>16</v>
      </c>
      <c r="C173" s="39" t="s">
        <v>70</v>
      </c>
      <c r="D173" s="72" t="str">
        <f>"#"&amp;+C24</f>
        <v>#10</v>
      </c>
      <c r="E173" s="37" t="s">
        <v>71</v>
      </c>
      <c r="F173" s="37" t="s">
        <v>72</v>
      </c>
      <c r="G173" s="43">
        <f>+C23-0.5</f>
        <v>20</v>
      </c>
      <c r="H173" s="39" t="s">
        <v>73</v>
      </c>
      <c r="I173" s="38"/>
      <c r="Q173" s="16" t="s">
        <v>7</v>
      </c>
      <c r="R173" s="16">
        <f>+R172*T171/1000</f>
        <v>1987.6537975053463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1.5565437500000003</v>
      </c>
      <c r="H174" s="39" t="s">
        <v>73</v>
      </c>
      <c r="I174" s="38"/>
      <c r="Q174" s="16" t="s">
        <v>12</v>
      </c>
      <c r="R174" s="16">
        <f>+R173*0.75</f>
        <v>1490.7403481290098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1379.3296786111111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107.29980567708333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7.197752835478867E-2</v>
      </c>
    </row>
    <row r="177" spans="1:32" x14ac:dyDescent="0.25">
      <c r="A177" s="34"/>
      <c r="B177" s="40">
        <f>+C84</f>
        <v>15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22.783999999999999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1815.8088020099997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41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20.5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3195.1384806211108</v>
      </c>
      <c r="D181" s="39" t="s">
        <v>78</v>
      </c>
      <c r="E181" s="37" t="s">
        <v>79</v>
      </c>
      <c r="F181" s="80">
        <f>+C181/2000</f>
        <v>1.5975692403105555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191.63150000000002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13760.891500000002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14.838414042947965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3481.2607819560758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2610.9455864670567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204.18980567708331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7.8205308733905188E-2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41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20.5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77.907875000000004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3194.2228750000004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35.924215657390789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808.08157113690515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606.06117835267889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114.74995141927083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0.18933724105406333</v>
      </c>
      <c r="T199" s="16" t="s">
        <v>145</v>
      </c>
      <c r="V199" s="16">
        <f>+(C19*C19+C19*T170+3.1415*T170^2/4/4)/144</f>
        <v>12.990243706597223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41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3625.4659999999994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31.486667059446255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458.58920558000045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343.94190418500034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114.15384087734236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0.331898612784155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4" max="28" man="1"/>
    <brk id="85" max="28" man="1"/>
    <brk id="126" max="28" man="1"/>
    <brk id="167" max="28" man="1"/>
    <brk id="208" max="28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343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21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21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21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16.590060000000001</v>
      </c>
    </row>
    <row r="20" spans="1:21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18.678525000000004</v>
      </c>
    </row>
    <row r="21" spans="1:21" ht="18" x14ac:dyDescent="0.35">
      <c r="A21" s="34"/>
      <c r="B21" s="36" t="s">
        <v>397</v>
      </c>
      <c r="C21" s="84">
        <v>58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1.1279999999999999</v>
      </c>
      <c r="M21" s="16" t="s">
        <v>20</v>
      </c>
      <c r="N21" s="16" t="s">
        <v>36</v>
      </c>
      <c r="P21" s="16">
        <f>+IF(C25&lt;9,(C25/8),IF(C25=9,1.128,IF(C25=10,1.27,IF(C25=11,1.41,IF(C25=14,1.693,0)))))</f>
        <v>1.27</v>
      </c>
      <c r="Q21" s="16" t="s">
        <v>20</v>
      </c>
    </row>
    <row r="22" spans="1:21" ht="17.25" x14ac:dyDescent="0.25">
      <c r="A22" s="34"/>
      <c r="B22" s="36" t="s">
        <v>398</v>
      </c>
      <c r="C22" s="121">
        <f>2*C19/12+4*C18*0.866</f>
        <v>23.283999999999999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0.99929858399999982</v>
      </c>
      <c r="M22" s="16" t="s">
        <v>34</v>
      </c>
      <c r="N22" s="16" t="s">
        <v>37</v>
      </c>
      <c r="P22" s="16">
        <f>3.1415*P21^2/4</f>
        <v>1.2667313375</v>
      </c>
      <c r="Q22" s="16" t="s">
        <v>34</v>
      </c>
    </row>
    <row r="23" spans="1:21" x14ac:dyDescent="0.25">
      <c r="A23" s="34"/>
      <c r="B23" s="36" t="s">
        <v>399</v>
      </c>
      <c r="C23" s="122">
        <f>2*C19/12+3*C18</f>
        <v>20.5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21" x14ac:dyDescent="0.25">
      <c r="A24" s="34"/>
      <c r="B24" s="36" t="s">
        <v>400</v>
      </c>
      <c r="C24" s="81">
        <v>9</v>
      </c>
      <c r="D24" s="39"/>
      <c r="E24" s="37"/>
      <c r="F24" s="37"/>
      <c r="G24" s="37"/>
      <c r="H24" s="37"/>
      <c r="I24" s="38"/>
    </row>
    <row r="25" spans="1:21" x14ac:dyDescent="0.25">
      <c r="A25" s="34"/>
      <c r="B25" s="36" t="s">
        <v>401</v>
      </c>
      <c r="C25" s="83">
        <v>10</v>
      </c>
      <c r="D25" s="39"/>
      <c r="E25" s="37"/>
      <c r="F25" s="37"/>
      <c r="G25" s="37"/>
      <c r="H25" s="37"/>
      <c r="I25" s="38"/>
      <c r="J25" s="16" t="s">
        <v>112</v>
      </c>
    </row>
    <row r="26" spans="1:21" ht="18" x14ac:dyDescent="0.35">
      <c r="A26" s="34"/>
      <c r="B26" s="36" t="s">
        <v>402</v>
      </c>
      <c r="C26" s="123">
        <f>+C21-C15-C16-P21-0.5*L21</f>
        <v>47.165999999999997</v>
      </c>
      <c r="D26" s="39" t="s">
        <v>0</v>
      </c>
      <c r="E26" s="37"/>
      <c r="F26" s="37"/>
      <c r="G26" s="37"/>
      <c r="H26" s="37"/>
      <c r="I26" s="38"/>
      <c r="O26" s="113"/>
      <c r="P26" s="113"/>
      <c r="Q26" s="113"/>
      <c r="R26" s="113"/>
      <c r="S26" s="113"/>
      <c r="T26" s="113"/>
      <c r="U26" s="113"/>
    </row>
    <row r="27" spans="1:21" ht="18" x14ac:dyDescent="0.35">
      <c r="A27" s="34"/>
      <c r="B27" s="36" t="s">
        <v>403</v>
      </c>
      <c r="C27" s="61">
        <f>+C21-C15-C16-P21/2</f>
        <v>48.365000000000002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  <c r="O27" s="113"/>
      <c r="P27" s="113"/>
      <c r="Q27" s="113"/>
      <c r="R27" s="113"/>
      <c r="S27" s="113"/>
      <c r="T27" s="113"/>
      <c r="U27" s="113"/>
    </row>
    <row r="28" spans="1:21" ht="18" x14ac:dyDescent="0.35">
      <c r="A28" s="34"/>
      <c r="B28" s="36" t="s">
        <v>404</v>
      </c>
      <c r="C28" s="45">
        <f>+C21-C15-C16-1</f>
        <v>48</v>
      </c>
      <c r="D28" s="39" t="s">
        <v>0</v>
      </c>
      <c r="E28" s="37"/>
      <c r="F28" s="37"/>
      <c r="G28" s="37"/>
      <c r="H28" s="37"/>
      <c r="I28" s="38"/>
      <c r="O28" s="113"/>
      <c r="P28" s="113"/>
      <c r="Q28" s="113"/>
      <c r="R28" s="113"/>
      <c r="S28" s="113"/>
      <c r="T28" s="113"/>
      <c r="U28" s="113"/>
    </row>
    <row r="29" spans="1:21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M29" s="16">
        <f>+IF(C9="Round",C17,L27)</f>
        <v>20</v>
      </c>
    </row>
    <row r="30" spans="1:21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21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21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48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24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68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10253.856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+IF(B131&gt;B129,"NA",IF(G140&lt;1,"OK","NG"))</f>
        <v>NA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9.6300995341546525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2594.0431807506798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1945.5323855630099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98.745653888888882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5.0755081036758617E-2</v>
      </c>
    </row>
    <row r="41" spans="1:25" ht="18" x14ac:dyDescent="0.35">
      <c r="A41" s="34"/>
      <c r="B41" s="59" t="s">
        <v>22</v>
      </c>
      <c r="C41" s="60">
        <f>C7*18*C14-C7*C22*C23*C21/12*0.15</f>
        <v>1750.30648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20.91833215148856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21</v>
      </c>
      <c r="D43" s="39" t="s">
        <v>0</v>
      </c>
      <c r="E43" s="115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C7*C14*(3*(0.5*C18*12+C12-C43/4))+C7*C14*(2*(1*C18*12+C12-C43/4))+C7*C14*(3*(1.5*C18*12+C12-C43/4))-C7*(C23/2-C43/12/4)*C22*C21/12*0.15*(C23/2-C43/12/4)*12/2</f>
        <v>55820.35109625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2397.3694853225393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47.165999999999997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0.97037097191880761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22.594117710157516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30.12549028021002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41.674258696493737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43.928525760000007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43.928525760000007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29.170195200000002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30.12549028021002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1.1358048780487804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16.016470588235297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0.93641512881417865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3.5640000000000001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24.030761774315163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3.5640000000000001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30.12549028021002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3.5640000000000001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32.103442806029385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109.5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30.146635612774997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18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32.103442806029385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109.5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C7*C14*(3*(0.866*C18*12+C12-C43/4))+C7*C14*(4*(0.866*C18*12+0.866*C18*12+C12-C43/4))-C7*(C22/2-C43/12/4)*C23*C21/12*0.15*(C22/2-C43/12/4)*12/2</f>
        <v>67863.451766729995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3310.4122813039021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48.365000000000002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17.052142857142858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1.3085286834529981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3.6349999999999998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26.824838010786461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3.6349999999999998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35.766450681048617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37.624115522374744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39.659300000000002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39.659300000000002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25.682400000000001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35.766450681048617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36.144833655724575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3.6349999999999998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126.20400000000001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36.144833655724575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126.20400000000001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28.23523001462701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15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34.5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48</v>
      </c>
      <c r="C87" s="39" t="s">
        <v>0</v>
      </c>
      <c r="D87" s="37"/>
      <c r="E87" s="37"/>
      <c r="F87" s="37"/>
      <c r="G87" s="70"/>
      <c r="H87" s="37"/>
      <c r="I87" s="38"/>
      <c r="J87" s="16" t="s">
        <v>238</v>
      </c>
      <c r="K87" s="51"/>
      <c r="L87" s="51"/>
      <c r="M87" s="51"/>
      <c r="N87" s="51"/>
      <c r="O87" s="51">
        <f>+C18*12*0.5+C12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24</v>
      </c>
      <c r="C88" s="39" t="s">
        <v>0</v>
      </c>
      <c r="D88" s="37"/>
      <c r="E88" s="37"/>
      <c r="F88" s="37"/>
      <c r="G88" s="70"/>
      <c r="H88" s="37"/>
      <c r="I88" s="38"/>
      <c r="J88" s="16" t="s">
        <v>249</v>
      </c>
      <c r="K88" s="51"/>
      <c r="L88" s="51"/>
      <c r="M88" s="51"/>
      <c r="N88" s="51"/>
      <c r="O88" s="51">
        <f>+C18*12+C12</f>
        <v>75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+IF(M86&gt;O91,0,IF(M86&gt;O89,8,IF(M86&gt;O88,10,IF(M86&gt;O90,14,IF(M86&gt;O87,16,18)))))</f>
        <v>18</v>
      </c>
      <c r="F89" s="37"/>
      <c r="G89" s="37"/>
      <c r="H89" s="37"/>
      <c r="I89" s="38"/>
      <c r="J89" s="16" t="s">
        <v>264</v>
      </c>
      <c r="K89" s="51"/>
      <c r="L89" s="51"/>
      <c r="M89" s="51"/>
      <c r="N89" s="51"/>
      <c r="O89" s="51">
        <f>1.5*C18*12+C12</f>
        <v>111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239</v>
      </c>
      <c r="K90" s="51"/>
      <c r="L90" s="51"/>
      <c r="M90" s="51"/>
      <c r="N90" s="51"/>
      <c r="O90" s="51">
        <f>+C18*12*0.866+C12</f>
        <v>65.352000000000004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276</v>
      </c>
      <c r="C91" s="39" t="s">
        <v>0</v>
      </c>
      <c r="D91" s="37"/>
      <c r="E91" s="37"/>
      <c r="F91" s="37"/>
      <c r="G91" s="37"/>
      <c r="H91" s="37"/>
      <c r="I91" s="38"/>
      <c r="J91" s="16" t="s">
        <v>240</v>
      </c>
      <c r="K91" s="51"/>
      <c r="L91" s="51"/>
      <c r="M91" s="51"/>
      <c r="N91" s="51"/>
      <c r="O91" s="51">
        <f>+C18*12*(0.866+0.866)+C12</f>
        <v>127.70399999999999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3351.5083553528552</v>
      </c>
      <c r="C92" s="39" t="s">
        <v>18</v>
      </c>
      <c r="D92" s="37" t="s">
        <v>15</v>
      </c>
      <c r="E92" s="37"/>
      <c r="F92" s="37"/>
      <c r="G92" s="37"/>
      <c r="H92" s="37"/>
      <c r="I92" s="38"/>
      <c r="L92" s="16" t="s">
        <v>83</v>
      </c>
      <c r="O92" s="16">
        <f>+B90</f>
        <v>252.98221281347034</v>
      </c>
      <c r="P92" s="16" t="s">
        <v>5</v>
      </c>
    </row>
    <row r="93" spans="1:17" ht="18" x14ac:dyDescent="0.35">
      <c r="A93" s="59" t="s">
        <v>12</v>
      </c>
      <c r="B93" s="68">
        <f>+B92*0.75</f>
        <v>2513.6312665146415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+E89*C7*C14-C7*0.15*C22*C23*C21/12+C7*0.15*(2*M86)/12*(2*M86)/12*C21/12+C7*2*U26*U27*C21/12*0.15</f>
        <v>1788.6589800000002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0.71158367729890803</v>
      </c>
      <c r="C95" s="37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58.5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48</v>
      </c>
      <c r="C99" s="39" t="s">
        <v>0</v>
      </c>
      <c r="D99" s="37"/>
      <c r="E99" s="37"/>
      <c r="F99" s="37"/>
      <c r="G99" s="37"/>
      <c r="H99" s="37"/>
      <c r="I99" s="38"/>
      <c r="J99" s="16" t="s">
        <v>242</v>
      </c>
      <c r="K99" s="51"/>
      <c r="L99" s="51"/>
      <c r="M99" s="51"/>
      <c r="N99" s="51"/>
      <c r="O99" s="51">
        <f>0.866*C18*12+C12</f>
        <v>65.352000000000004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+IF(M98&gt;O100,0,IF(M98&gt;O99,4,7))</f>
        <v>7</v>
      </c>
      <c r="F100" s="37"/>
      <c r="G100" s="37"/>
      <c r="H100" s="37"/>
      <c r="I100" s="38"/>
      <c r="J100" s="16" t="s">
        <v>243</v>
      </c>
      <c r="K100" s="51"/>
      <c r="L100" s="51"/>
      <c r="M100" s="51"/>
      <c r="N100" s="51"/>
      <c r="O100" s="51">
        <f>(0.866+0.866)*C18*12+C12</f>
        <v>127.70399999999999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K101" s="51"/>
      <c r="L101" s="51"/>
      <c r="M101" s="51"/>
      <c r="N101" s="51"/>
      <c r="O101" s="51"/>
    </row>
    <row r="102" spans="1:17" x14ac:dyDescent="0.25">
      <c r="A102" s="59" t="s">
        <v>61</v>
      </c>
      <c r="B102" s="68">
        <f>+C23*12*B99</f>
        <v>11808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1493.6069844507288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1120.2052383380465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735.08074000000011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0.65620184127203074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58.5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48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250</v>
      </c>
      <c r="K110" s="51"/>
      <c r="L110" s="51"/>
      <c r="M110" s="51"/>
      <c r="N110" s="51"/>
      <c r="O110" s="51">
        <f>0.5*C18*12+C12</f>
        <v>39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+IF(M109&gt;O112,0,IF(M109&gt;O111,3,IF(M109&gt;O110,5,8)))</f>
        <v>5</v>
      </c>
      <c r="F111" s="37"/>
      <c r="G111" s="37"/>
      <c r="H111" s="37"/>
      <c r="I111" s="38"/>
      <c r="J111" s="16" t="s">
        <v>251</v>
      </c>
      <c r="K111" s="51"/>
      <c r="L111" s="51"/>
      <c r="M111" s="51"/>
      <c r="N111" s="51"/>
      <c r="O111" s="51">
        <f>C18*12+C12</f>
        <v>75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J112" s="16" t="s">
        <v>265</v>
      </c>
      <c r="K112" s="51"/>
      <c r="L112" s="51"/>
      <c r="M112" s="51"/>
      <c r="N112" s="51"/>
      <c r="O112" s="51">
        <f>1.5*C18*12+C12</f>
        <v>111</v>
      </c>
      <c r="P112" s="16" t="s">
        <v>0</v>
      </c>
      <c r="Q112" s="16" t="s">
        <v>119</v>
      </c>
    </row>
    <row r="113" spans="1:23" x14ac:dyDescent="0.25">
      <c r="A113" s="59" t="s">
        <v>61</v>
      </c>
      <c r="B113" s="68">
        <f>+C22*12*B110</f>
        <v>13411.584000000001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1696.446098826867</v>
      </c>
      <c r="C114" s="39" t="s">
        <v>18</v>
      </c>
      <c r="D114" s="37" t="s">
        <v>62</v>
      </c>
      <c r="E114" s="37"/>
      <c r="F114" s="37"/>
      <c r="G114" s="37"/>
      <c r="H114" s="37"/>
      <c r="I114" s="38"/>
      <c r="L114" s="16" t="s">
        <v>83</v>
      </c>
      <c r="O114" s="16">
        <f>+B112</f>
        <v>126.49110640673517</v>
      </c>
      <c r="P114" s="16" t="s">
        <v>5</v>
      </c>
    </row>
    <row r="115" spans="1:23" ht="18" x14ac:dyDescent="0.35">
      <c r="A115" s="59" t="s">
        <v>12</v>
      </c>
      <c r="B115" s="68">
        <f>+B114*0.75</f>
        <v>1272.3345741201501</v>
      </c>
      <c r="C115" s="39" t="s">
        <v>18</v>
      </c>
      <c r="D115" s="37"/>
      <c r="E115" s="37"/>
      <c r="F115" s="37"/>
      <c r="G115" s="37"/>
      <c r="H115" s="37"/>
      <c r="I115" s="38"/>
    </row>
    <row r="116" spans="1:23" ht="18" x14ac:dyDescent="0.35">
      <c r="A116" s="59" t="s">
        <v>57</v>
      </c>
      <c r="B116" s="68">
        <f>+E111*C14*C7-C7*0.15*C22*C23*C21/12*((C23/2-M109/12)/C23)</f>
        <v>494.82425999999998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0.38891048790541816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41.676000000000002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1753.8589800000002</v>
      </c>
      <c r="W127" s="37" t="s">
        <v>8</v>
      </c>
    </row>
    <row r="128" spans="1:23" ht="18.75" x14ac:dyDescent="0.35">
      <c r="A128" s="59" t="s">
        <v>1</v>
      </c>
      <c r="B128" s="43">
        <f>+B87</f>
        <v>48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24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18</v>
      </c>
      <c r="G130" s="37"/>
      <c r="H130" s="37"/>
      <c r="I130" s="38"/>
      <c r="Q130" s="37" t="s">
        <v>16</v>
      </c>
      <c r="R130" s="16">
        <f>+C18*12*0.866-C43/2+C12</f>
        <v>54.851999999999997</v>
      </c>
      <c r="S130" s="16" t="s">
        <v>0</v>
      </c>
      <c r="U130" s="37" t="s">
        <v>11</v>
      </c>
      <c r="V130" s="37">
        <f>+B135</f>
        <v>276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28.5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Q131" s="37" t="s">
        <v>13</v>
      </c>
      <c r="R131" s="37">
        <f>+C14*E130*C7-C7*0.15*C22*C23*C21/12+C7*0.15*(C43)/12*(C43)/12*C21/12+C7*2*U26*U27*C21/12*0.15</f>
        <v>1753.8589800000002</v>
      </c>
      <c r="S131" s="37" t="s">
        <v>8</v>
      </c>
      <c r="T131" s="37"/>
      <c r="U131" s="37" t="s">
        <v>2</v>
      </c>
      <c r="V131" s="37">
        <f>+B136</f>
        <v>84</v>
      </c>
      <c r="W131" s="37" t="s">
        <v>0</v>
      </c>
    </row>
    <row r="132" spans="1:23" ht="18.75" x14ac:dyDescent="0.35">
      <c r="A132" s="59" t="s">
        <v>57</v>
      </c>
      <c r="B132" s="68">
        <f>+C14*E130*C7-C7*0.15*C22*C23*C21/12+C7*0.15*(C43)/12*(C43)/12*C21/12</f>
        <v>1753.8589800000002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7.5685903500473026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1930.0364845107142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276</v>
      </c>
      <c r="S134" s="37" t="s">
        <v>0</v>
      </c>
      <c r="T134" s="37"/>
      <c r="U134" s="34" t="s">
        <v>12</v>
      </c>
      <c r="V134" s="37">
        <f>+V133*0.75</f>
        <v>1447.5273633830357</v>
      </c>
      <c r="W134" s="37" t="s">
        <v>8</v>
      </c>
    </row>
    <row r="135" spans="1:23" ht="18" x14ac:dyDescent="0.35">
      <c r="A135" s="59" t="s">
        <v>11</v>
      </c>
      <c r="B135" s="61">
        <f>4*(B128+C43)</f>
        <v>276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699.98085951396297</v>
      </c>
      <c r="P135" s="16" t="s">
        <v>5</v>
      </c>
      <c r="Q135" s="37" t="s">
        <v>2</v>
      </c>
      <c r="R135" s="37">
        <f>+B136</f>
        <v>84</v>
      </c>
      <c r="S135" s="37" t="s">
        <v>0</v>
      </c>
      <c r="T135" s="37"/>
      <c r="U135" s="34" t="s">
        <v>14</v>
      </c>
      <c r="V135" s="37">
        <f>+V127/V134</f>
        <v>1.211624059320739</v>
      </c>
      <c r="W135" s="37"/>
    </row>
    <row r="136" spans="1:23" ht="18" x14ac:dyDescent="0.35">
      <c r="A136" s="59" t="s">
        <v>2</v>
      </c>
      <c r="B136" s="61">
        <f>4*C43</f>
        <v>84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5.7505391130418477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11.06766917293233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8.4091041429870899</v>
      </c>
      <c r="Q137" s="37" t="s">
        <v>7</v>
      </c>
      <c r="R137" s="37">
        <f>+R136*(C10*1000)^0.5*R135*B128/1000</f>
        <v>1466.4223825652398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2822.322825560299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2144.3726040627694</v>
      </c>
      <c r="Q138" s="37" t="s">
        <v>12</v>
      </c>
      <c r="R138" s="37">
        <f>+R137*0.75</f>
        <v>1099.8167869239298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2116.7421191702242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0.81788910037234452</v>
      </c>
      <c r="Q139" s="37" t="s">
        <v>14</v>
      </c>
      <c r="R139" s="37">
        <f>+R131/R138</f>
        <v>1.594682860683875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0.82856525795760305</v>
      </c>
      <c r="C140" s="37"/>
      <c r="D140" s="130" t="s">
        <v>233</v>
      </c>
      <c r="F140" s="16" t="s">
        <v>14</v>
      </c>
      <c r="G140" s="80">
        <f>+(B140+R139)/2</f>
        <v>1.211624059320739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48.365000000000002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+C18*12*0.866-C43/2+C12</f>
        <v>54.851999999999997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1.1341259175023259</v>
      </c>
      <c r="C146" s="39"/>
      <c r="D146" s="70" t="str">
        <f>+IF(B146&lt;1,"OK, this limit state should be checked","Limit state not applicable")</f>
        <v>Limit state not applicable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7*C7*C14-C7*0.15*C22*C23*C21/12*((C22/2-C43/2/12)/C22)</f>
        <v>639.96074000000021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C7*C14*(3*B145)+C7*C14*(4*(B145+0.866*C18*12))-C7*0.15*C22*C23*C21/12*((C22/2-C43/2/12)/C22)*(C22/2-C43/2/12)*12/2</f>
        <v>64530.967725479997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-185.99961683872533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0.47964105112712818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2.084892437063214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-2.9409121656448973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-1659.7382859207132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-0.3855793081527864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47.165999999999997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+C18*12*0.5-C43/2+C12</f>
        <v>28.5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0.60424882330492313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8*C7*C14-C7*0.15*C22*C23*C21/12*((C23/2-C43/2/12)/C23)</f>
        <v>770.78650000000005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C7*C14*(3*B158)+C7*C14*(2*(B158+0.5*C18*12))+C7*C14*(3*(B158+1*C18*12))-C7*0.15*C22*C23*C21/12*((C23/2-C43/2/12)/C23)*(C23/2-C43/2/12)*12/2</f>
        <v>51804.740625000006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-12.874021835361834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0.70176813203569632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1.4249720874317697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-0.20355615823242323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-127.24577996163632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-6.0574621824974209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48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24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+C23*C22*C21/12/27-2*U26*U27*C21/12/27</f>
        <v>85.446530864197541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68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10253.856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9.6300995341546525</v>
      </c>
      <c r="AF172" s="16" t="s">
        <v>5</v>
      </c>
    </row>
    <row r="173" spans="1:32" ht="18.75" x14ac:dyDescent="0.35">
      <c r="A173" s="34"/>
      <c r="B173" s="40">
        <f>+C66</f>
        <v>18</v>
      </c>
      <c r="C173" s="39" t="s">
        <v>70</v>
      </c>
      <c r="D173" s="72" t="str">
        <f>"#"&amp;+C24</f>
        <v>#9</v>
      </c>
      <c r="E173" s="37" t="s">
        <v>71</v>
      </c>
      <c r="F173" s="37" t="s">
        <v>72</v>
      </c>
      <c r="G173" s="43">
        <f>+C23-0.5</f>
        <v>20</v>
      </c>
      <c r="H173" s="39" t="s">
        <v>73</v>
      </c>
      <c r="I173" s="38"/>
      <c r="Q173" s="16" t="s">
        <v>7</v>
      </c>
      <c r="R173" s="16">
        <f>+R172*T171/1000</f>
        <v>2594.0431807506798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1.3825050000000001</v>
      </c>
      <c r="H174" s="39" t="s">
        <v>73</v>
      </c>
      <c r="I174" s="38"/>
      <c r="Q174" s="16" t="s">
        <v>12</v>
      </c>
      <c r="R174" s="16">
        <f>+R173*0.75</f>
        <v>1945.5323855630099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1224.1407653999997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98.745653888888882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5.0755081036758617E-2</v>
      </c>
    </row>
    <row r="177" spans="1:32" x14ac:dyDescent="0.25">
      <c r="A177" s="34"/>
      <c r="B177" s="40">
        <f>+C84</f>
        <v>15</v>
      </c>
      <c r="C177" s="39" t="s">
        <v>70</v>
      </c>
      <c r="D177" s="72" t="str">
        <f>"#"&amp;+C25</f>
        <v>#10</v>
      </c>
      <c r="E177" s="37" t="s">
        <v>71</v>
      </c>
      <c r="F177" s="37" t="s">
        <v>72</v>
      </c>
      <c r="G177" s="43">
        <f>+C22-0.5</f>
        <v>22.783999999999999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1.5565437500000003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1473.1240967566666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48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24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2697.2648621566664</v>
      </c>
      <c r="D181" s="39" t="s">
        <v>78</v>
      </c>
      <c r="E181" s="37" t="s">
        <v>79</v>
      </c>
      <c r="F181" s="80">
        <f>+C181/2000</f>
        <v>1.3486324310783331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213.62200000000001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17165.856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10.911524242594654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4342.6562357173871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3256.9921767880405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187.30565388888888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5.7508782251237942E-2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48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24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83.405500000000004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4003.4639999999999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27.640375136520664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1012.8051816390672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759.60388622930043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110.65724680555556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0.14567756802148801</v>
      </c>
      <c r="T199" s="16" t="s">
        <v>145</v>
      </c>
      <c r="V199" s="16">
        <f>+(C19*C19+C19*T170+3.1415*T170^2/4/4)/144</f>
        <v>14.950649305555556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48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4244.4479999999994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26.447111064719977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536.88492360585417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402.66369270439066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112.25338766442857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0.27877702831985318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4" max="36" man="1"/>
    <brk id="85" max="36" man="1"/>
    <brk id="126" max="36" man="1"/>
    <brk id="167" max="36" man="1"/>
    <brk id="208" max="36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269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21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21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21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18.678525000000004</v>
      </c>
    </row>
    <row r="20" spans="1:21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21" ht="18" x14ac:dyDescent="0.35">
      <c r="A21" s="34"/>
      <c r="B21" s="36" t="s">
        <v>397</v>
      </c>
      <c r="C21" s="84">
        <v>54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1.27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21" ht="17.25" x14ac:dyDescent="0.25">
      <c r="A22" s="34"/>
      <c r="B22" s="36" t="s">
        <v>398</v>
      </c>
      <c r="C22" s="121">
        <f>2*C19/12+2*C18*0.866+2*C18</f>
        <v>24.891999999999999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1.2667313375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21" x14ac:dyDescent="0.25">
      <c r="A23" s="34"/>
      <c r="B23" s="36" t="s">
        <v>399</v>
      </c>
      <c r="C23" s="122">
        <f>2*C19/12+3*C18</f>
        <v>20.5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21" x14ac:dyDescent="0.25">
      <c r="A24" s="34"/>
      <c r="B24" s="36" t="s">
        <v>400</v>
      </c>
      <c r="C24" s="81">
        <v>10</v>
      </c>
      <c r="D24" s="39"/>
      <c r="E24" s="37"/>
      <c r="F24" s="37"/>
      <c r="G24" s="37"/>
      <c r="H24" s="37"/>
      <c r="I24" s="38"/>
    </row>
    <row r="25" spans="1:21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21" ht="18" x14ac:dyDescent="0.35">
      <c r="A26" s="34"/>
      <c r="B26" s="36" t="s">
        <v>402</v>
      </c>
      <c r="C26" s="123">
        <f>+C21-C15-C16-P21-0.5*L21</f>
        <v>42.955000000000005</v>
      </c>
      <c r="D26" s="39" t="s">
        <v>0</v>
      </c>
      <c r="E26" s="37"/>
      <c r="F26" s="37"/>
      <c r="G26" s="37"/>
      <c r="H26" s="37"/>
      <c r="I26" s="38"/>
      <c r="O26" s="113"/>
      <c r="P26" s="113"/>
      <c r="Q26" s="113"/>
      <c r="R26" s="113"/>
      <c r="S26" s="113"/>
      <c r="T26" s="113"/>
      <c r="U26" s="113"/>
    </row>
    <row r="27" spans="1:21" ht="18" x14ac:dyDescent="0.35">
      <c r="A27" s="34"/>
      <c r="B27" s="36" t="s">
        <v>403</v>
      </c>
      <c r="C27" s="61">
        <f>+C21-C15-C16-P21/2</f>
        <v>44.295000000000002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  <c r="O27" s="113"/>
      <c r="P27" s="113"/>
      <c r="Q27" s="113"/>
      <c r="R27" s="113"/>
      <c r="S27" s="113"/>
      <c r="T27" s="113"/>
      <c r="U27" s="113"/>
    </row>
    <row r="28" spans="1:21" ht="18" x14ac:dyDescent="0.35">
      <c r="A28" s="34"/>
      <c r="B28" s="36" t="s">
        <v>404</v>
      </c>
      <c r="C28" s="45">
        <f>+C21-C15-C16-1</f>
        <v>44</v>
      </c>
      <c r="D28" s="39" t="s">
        <v>0</v>
      </c>
      <c r="E28" s="37"/>
      <c r="F28" s="37"/>
      <c r="G28" s="37"/>
      <c r="H28" s="37"/>
      <c r="I28" s="38"/>
      <c r="O28" s="113"/>
      <c r="P28" s="113"/>
      <c r="Q28" s="113"/>
      <c r="R28" s="113"/>
      <c r="S28" s="113"/>
      <c r="T28" s="113"/>
      <c r="U28" s="113"/>
    </row>
    <row r="29" spans="1:21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M29" s="16">
        <f>+IF(C9="Round",C17,L27)</f>
        <v>20</v>
      </c>
    </row>
    <row r="30" spans="1:21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21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21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44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22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64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8846.4639999999999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+IF(B131&gt;B129,"NA",IF(G140&lt;1,"OK","NG"))</f>
        <v>NA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11.741785192366125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2237.9980382947042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1678.4985287210282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103.87327999999999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6.1884641673858785E-2</v>
      </c>
    </row>
    <row r="41" spans="1:25" ht="18" x14ac:dyDescent="0.35">
      <c r="A41" s="34"/>
      <c r="B41" s="59" t="s">
        <v>22</v>
      </c>
      <c r="C41" s="60">
        <f>C7*19*C14-C7*C22*C23*C21/12*0.15</f>
        <v>1880.89112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21.684620817528721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22</v>
      </c>
      <c r="D43" s="39" t="s">
        <v>0</v>
      </c>
      <c r="E43" s="115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C7*C14*(4*(0.5*C18*12+C12-C43/4))+C7*C14*(1*(1*C18*12+C12-C43/4))+C7*C14*(4*(1.5*C18*12+C12-C43/4))-C7*(C23/2-C43/12/4)*C22*C21/12*0.15*(C23/2-C43/12/4)*12/2</f>
        <v>64599.067125000001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2595.1738359713963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42.955000000000005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1.1549419784391333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28.748815727306905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38.331754303075876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40.574648082347103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42.769434400000009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42.769434400000009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29.034028800000002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38.331754303075876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1.2142439024390244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18.214625000000002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0.90324286217835736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3.6349999999999998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31.53046885284294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3.6349999999999998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38.331754303075876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3.6349999999999998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36.144833655724575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109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30.260366321028098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17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36.144833655724575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109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C7*C14*(4*(0.866*C18*12+C12-C43/4))+C7*C14*(4*(0.866*C18*12+C18*12+C12-C43/4))-C7*(C22/2-C43/12/4)*C23*C21/12*0.15*(C22/2-C43/12/4)*12/2</f>
        <v>79062.78843356001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3856.7213870029273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44.295000000000002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19.8825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1.6728171936453684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34.292752469730054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45.72366995964007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34.457979883460951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36.321899999999999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36.321899999999999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23.911200000000001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36.321899999999999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135.352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135.352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23.262332572263507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13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33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44</v>
      </c>
      <c r="C87" s="39" t="s">
        <v>0</v>
      </c>
      <c r="D87" s="37"/>
      <c r="E87" s="37"/>
      <c r="F87" s="37"/>
      <c r="G87" s="70"/>
      <c r="H87" s="37"/>
      <c r="I87" s="38"/>
      <c r="J87" s="16" t="s">
        <v>238</v>
      </c>
      <c r="K87" s="51"/>
      <c r="L87" s="51"/>
      <c r="M87" s="51"/>
      <c r="N87" s="51"/>
      <c r="O87" s="51">
        <f>+C18*12*0.5+C12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22</v>
      </c>
      <c r="C88" s="39" t="s">
        <v>0</v>
      </c>
      <c r="D88" s="37"/>
      <c r="E88" s="37"/>
      <c r="F88" s="37"/>
      <c r="G88" s="70"/>
      <c r="H88" s="37"/>
      <c r="I88" s="38"/>
      <c r="J88" s="16" t="s">
        <v>249</v>
      </c>
      <c r="K88" s="51"/>
      <c r="L88" s="51"/>
      <c r="M88" s="51"/>
      <c r="N88" s="51"/>
      <c r="O88" s="51">
        <f>+C18*12+C12</f>
        <v>75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+IF(M86&gt;O91,0,IF(M86&gt;O89,8,IF(M86&gt;O88,12,IF(M86&gt;O90,14,18))))</f>
        <v>18</v>
      </c>
      <c r="F89" s="37"/>
      <c r="G89" s="37"/>
      <c r="H89" s="37"/>
      <c r="I89" s="38"/>
      <c r="J89" s="16" t="s">
        <v>264</v>
      </c>
      <c r="K89" s="51"/>
      <c r="L89" s="51"/>
      <c r="M89" s="51"/>
      <c r="N89" s="51"/>
      <c r="O89" s="51">
        <f>1.5*C18*12+C12</f>
        <v>111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239</v>
      </c>
      <c r="K90" s="51"/>
      <c r="L90" s="51"/>
      <c r="M90" s="51"/>
      <c r="N90" s="51"/>
      <c r="O90" s="51">
        <f>+C18*12*0.866+C12</f>
        <v>65.352000000000004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264</v>
      </c>
      <c r="C91" s="39" t="s">
        <v>0</v>
      </c>
      <c r="D91" s="37"/>
      <c r="E91" s="37"/>
      <c r="F91" s="37"/>
      <c r="G91" s="37"/>
      <c r="H91" s="37"/>
      <c r="I91" s="38"/>
      <c r="J91" s="16" t="s">
        <v>240</v>
      </c>
      <c r="K91" s="51"/>
      <c r="L91" s="51"/>
      <c r="M91" s="51"/>
      <c r="N91" s="51"/>
      <c r="O91" s="51">
        <f>+C18*12*(0.866+1)+C12</f>
        <v>137.352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2938.6413840412711</v>
      </c>
      <c r="C92" s="39" t="s">
        <v>18</v>
      </c>
      <c r="D92" s="37" t="s">
        <v>15</v>
      </c>
      <c r="E92" s="37"/>
      <c r="F92" s="37"/>
      <c r="G92" s="37"/>
      <c r="H92" s="37"/>
      <c r="I92" s="38"/>
      <c r="L92" s="16" t="s">
        <v>83</v>
      </c>
      <c r="O92" s="16">
        <f>+B90</f>
        <v>252.98221281347034</v>
      </c>
      <c r="P92" s="16" t="s">
        <v>5</v>
      </c>
    </row>
    <row r="93" spans="1:17" ht="18" x14ac:dyDescent="0.35">
      <c r="A93" s="59" t="s">
        <v>12</v>
      </c>
      <c r="B93" s="68">
        <f>+B92*0.75</f>
        <v>2203.9810380309532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+E89*C7*C14-C7*0.15*C22*C23*C21/12+C7*0.15*(2*M86)/12*(2*M86)/12*C21/12+C7*2*U26*U27*C21/12*0.15</f>
        <v>1785.5611200000001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0.81015266882478654</v>
      </c>
      <c r="C95" s="37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55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44</v>
      </c>
      <c r="C99" s="39" t="s">
        <v>0</v>
      </c>
      <c r="D99" s="37"/>
      <c r="E99" s="37"/>
      <c r="F99" s="37"/>
      <c r="G99" s="37"/>
      <c r="H99" s="37"/>
      <c r="I99" s="38"/>
      <c r="J99" s="16" t="s">
        <v>242</v>
      </c>
      <c r="K99" s="51"/>
      <c r="L99" s="51"/>
      <c r="M99" s="51"/>
      <c r="N99" s="51"/>
      <c r="O99" s="51">
        <f>0.866*C18*12+C12</f>
        <v>65.352000000000004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+IF(M98&gt;O100,0,IF(M98&gt;O99,4,8))</f>
        <v>8</v>
      </c>
      <c r="F100" s="37"/>
      <c r="G100" s="37"/>
      <c r="H100" s="37"/>
      <c r="I100" s="38"/>
      <c r="J100" s="16" t="s">
        <v>243</v>
      </c>
      <c r="K100" s="51"/>
      <c r="L100" s="51"/>
      <c r="M100" s="51"/>
      <c r="N100" s="51"/>
      <c r="O100" s="51">
        <f>(1+0.866)*C18*12+C12</f>
        <v>137.35200000000003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K101" s="51"/>
      <c r="L101" s="51"/>
      <c r="M101" s="51"/>
      <c r="N101" s="51"/>
      <c r="O101" s="51"/>
    </row>
    <row r="102" spans="1:17" x14ac:dyDescent="0.25">
      <c r="A102" s="59" t="s">
        <v>61</v>
      </c>
      <c r="B102" s="68">
        <f>+C23*12*B99</f>
        <v>10824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1369.1397357465014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1026.8548018098761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849.92056000000002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0.82769302777956355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55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44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250</v>
      </c>
      <c r="K110" s="51"/>
      <c r="L110" s="51"/>
      <c r="M110" s="51"/>
      <c r="N110" s="51"/>
      <c r="O110" s="51">
        <f>0.5*C18*12+C12</f>
        <v>39</v>
      </c>
      <c r="P110" s="16" t="s">
        <v>0</v>
      </c>
      <c r="Q110" s="16" t="s">
        <v>119</v>
      </c>
    </row>
    <row r="111" spans="1:17" x14ac:dyDescent="0.25">
      <c r="A111" s="125"/>
      <c r="B111" s="70"/>
      <c r="C111" s="157"/>
      <c r="D111" s="59" t="s">
        <v>414</v>
      </c>
      <c r="E111" s="72">
        <f>+IF(M109&gt;O112,0,IF(M109&gt;O111,4,IF(M109&gt;O110,5,9)))</f>
        <v>5</v>
      </c>
      <c r="F111" s="37"/>
      <c r="G111" s="37"/>
      <c r="H111" s="37"/>
      <c r="I111" s="38"/>
      <c r="J111" s="16" t="s">
        <v>251</v>
      </c>
      <c r="K111" s="51"/>
      <c r="L111" s="51"/>
      <c r="M111" s="51"/>
      <c r="N111" s="51"/>
      <c r="O111" s="51">
        <f>C18*12+C12</f>
        <v>75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J112" s="16" t="s">
        <v>265</v>
      </c>
      <c r="K112" s="51"/>
      <c r="L112" s="51"/>
      <c r="M112" s="51"/>
      <c r="N112" s="51"/>
      <c r="O112" s="51">
        <f>1.5*C18*12+C12</f>
        <v>111</v>
      </c>
      <c r="P112" s="16" t="s">
        <v>0</v>
      </c>
      <c r="Q112" s="16" t="s">
        <v>119</v>
      </c>
    </row>
    <row r="113" spans="1:23" x14ac:dyDescent="0.25">
      <c r="A113" s="59" t="s">
        <v>61</v>
      </c>
      <c r="B113" s="68">
        <f>+C22*12*B110</f>
        <v>13142.976000000001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1662.4695757171667</v>
      </c>
      <c r="C114" s="39" t="s">
        <v>18</v>
      </c>
      <c r="D114" s="37" t="s">
        <v>62</v>
      </c>
      <c r="E114" s="37"/>
      <c r="F114" s="37"/>
      <c r="G114" s="37"/>
      <c r="H114" s="37"/>
      <c r="I114" s="38"/>
      <c r="L114" s="16" t="s">
        <v>83</v>
      </c>
      <c r="O114" s="16">
        <f>+B112</f>
        <v>126.49110640673517</v>
      </c>
      <c r="P114" s="16" t="s">
        <v>5</v>
      </c>
    </row>
    <row r="115" spans="1:23" ht="18" x14ac:dyDescent="0.35">
      <c r="A115" s="59" t="s">
        <v>12</v>
      </c>
      <c r="B115" s="68">
        <f>+B114*0.75</f>
        <v>1246.852181787875</v>
      </c>
      <c r="C115" s="39" t="s">
        <v>18</v>
      </c>
      <c r="D115" s="37"/>
      <c r="E115" s="37"/>
      <c r="F115" s="37"/>
      <c r="G115" s="37"/>
      <c r="H115" s="37"/>
      <c r="I115" s="38"/>
    </row>
    <row r="116" spans="1:23" ht="18" x14ac:dyDescent="0.35">
      <c r="A116" s="59" t="s">
        <v>57</v>
      </c>
      <c r="B116" s="68">
        <f>+E111*C14*C7-C7*0.15*C22*C23*C21/12*((C23/2-M109/12)/C23)</f>
        <v>487.66095999999999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0.39111369184175271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41.176000000000002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1756.5211200000001</v>
      </c>
      <c r="W127" s="37" t="s">
        <v>8</v>
      </c>
    </row>
    <row r="128" spans="1:23" ht="18.75" x14ac:dyDescent="0.35">
      <c r="A128" s="59" t="s">
        <v>1</v>
      </c>
      <c r="B128" s="43">
        <f>+B87</f>
        <v>44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22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18</v>
      </c>
      <c r="G130" s="37"/>
      <c r="H130" s="37"/>
      <c r="I130" s="38"/>
      <c r="Q130" s="37" t="s">
        <v>16</v>
      </c>
      <c r="R130" s="16">
        <f>+C18*12*0.866-C43/2+C12</f>
        <v>54.351999999999997</v>
      </c>
      <c r="S130" s="16" t="s">
        <v>0</v>
      </c>
      <c r="U130" s="37" t="s">
        <v>11</v>
      </c>
      <c r="V130" s="37">
        <f>+B135</f>
        <v>264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28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Q131" s="37" t="s">
        <v>13</v>
      </c>
      <c r="R131" s="37">
        <f>+C14*E130*C7-C7*0.15*C22*C23*C21/12+C7*0.15*(C43)/12*(C43)/12*C21/12+C7*2*U26*U27*C21/12*0.15</f>
        <v>1756.5211200000001</v>
      </c>
      <c r="S131" s="37" t="s">
        <v>8</v>
      </c>
      <c r="T131" s="37"/>
      <c r="U131" s="37" t="s">
        <v>2</v>
      </c>
      <c r="V131" s="37">
        <f>+B136</f>
        <v>88</v>
      </c>
      <c r="W131" s="37" t="s">
        <v>0</v>
      </c>
    </row>
    <row r="132" spans="1:23" ht="18.75" x14ac:dyDescent="0.35">
      <c r="A132" s="59" t="s">
        <v>57</v>
      </c>
      <c r="B132" s="68">
        <f>+C14*E130*C7-C7*0.15*C22*C23*C21/12+C7*0.15*(C43)/12*(C43)/12*C21/12</f>
        <v>1756.5211200000001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6.4115018457353798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1570.0920548112485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264</v>
      </c>
      <c r="S134" s="37" t="s">
        <v>0</v>
      </c>
      <c r="T134" s="37"/>
      <c r="U134" s="34" t="s">
        <v>12</v>
      </c>
      <c r="V134" s="37">
        <f>+V133*0.75</f>
        <v>1177.5690411084365</v>
      </c>
      <c r="W134" s="37" t="s">
        <v>8</v>
      </c>
    </row>
    <row r="135" spans="1:23" ht="18" x14ac:dyDescent="0.35">
      <c r="A135" s="59" t="s">
        <v>11</v>
      </c>
      <c r="B135" s="61">
        <f>4*(B128+C43)</f>
        <v>264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596.31521591746582</v>
      </c>
      <c r="P135" s="16" t="s">
        <v>5</v>
      </c>
      <c r="Q135" s="37" t="s">
        <v>2</v>
      </c>
      <c r="R135" s="37">
        <f>+B136</f>
        <v>88</v>
      </c>
      <c r="S135" s="37" t="s">
        <v>0</v>
      </c>
      <c r="T135" s="37"/>
      <c r="U135" s="34" t="s">
        <v>14</v>
      </c>
      <c r="V135" s="37">
        <f>+V127/V134</f>
        <v>1.4916502206499931</v>
      </c>
      <c r="W135" s="37"/>
    </row>
    <row r="136" spans="1:23" ht="18" x14ac:dyDescent="0.35">
      <c r="A136" s="59" t="s">
        <v>2</v>
      </c>
      <c r="B136" s="61">
        <f>4*C43</f>
        <v>88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4.8572269649690911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9.4285714285714288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7.1428991967702604</v>
      </c>
      <c r="Q137" s="37" t="s">
        <v>7</v>
      </c>
      <c r="R137" s="37">
        <f>+R136*(C10*1000)^0.5*R135*B128/1000</f>
        <v>1189.4706809116128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2308.9325160324274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1749.2015984720206</v>
      </c>
      <c r="Q138" s="37" t="s">
        <v>12</v>
      </c>
      <c r="R138" s="37">
        <f>+R137*0.75</f>
        <v>892.10301068370961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1731.6993870243205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1.0041844928191086</v>
      </c>
      <c r="Q139" s="37" t="s">
        <v>14</v>
      </c>
      <c r="R139" s="37">
        <f>+R131/R138</f>
        <v>1.9689666988723631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1.0143337424276233</v>
      </c>
      <c r="C140" s="37"/>
      <c r="D140" s="130" t="s">
        <v>233</v>
      </c>
      <c r="F140" s="16" t="s">
        <v>14</v>
      </c>
      <c r="G140" s="80">
        <f>+(B140+R139)/2</f>
        <v>1.4916502206499933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44.295000000000002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+C18*12*0.866-C43/2+C12</f>
        <v>54.351999999999997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1.2270459419799074</v>
      </c>
      <c r="C146" s="39"/>
      <c r="D146" s="70" t="str">
        <f>+IF(B146&lt;1,"OK, this limit state should be checked","Limit state not applicable")</f>
        <v>Limit state not applicable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8*C7*C14-C7*0.15*C22*C23*C21/12*((C22/2-C43/2/12)/C22)</f>
        <v>768.74055999999996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C7*C14*(4*B145)+C7*C14*(4*(B145+1*C18*12))-C7*0.15*C22*C23*C21/12*((C22/2-C43/2/12)/C22)*(C22/2-C43/2/12)*12/2</f>
        <v>74862.620978560008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-200.18115261666046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0.45485133515365439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2.1985205334445981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-3.1651419345321115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-1635.965956626093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-0.46990009595639703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42.955000000000005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+C18*12*0.5-C43/2+C12</f>
        <v>28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0.65184495402165044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9*C7*C14-C7*0.15*C22*C23*C21/12*((C23/2-C43/2/12)/C23)</f>
        <v>901.08863999999994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C7*C14*(4*B158)+C7*C14*(1*(B158+0.5*C18*12))+C7*C14*(4*(B158+1*C18*12))-C7*0.15*C22*C23*C21/12*((C23/2-C43/2/12)/C23)*(C23/2-C43/2/12)*12/2</f>
        <v>59676.963839999997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-67.578045393758501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0.64859637690307814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1.5417909128244069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-1.0685027163326357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-650.31182535342964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-1.3856254874502378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44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22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+C23*C22*C21/12/27-2*U26*U27*C21/12/27</f>
        <v>85.047666666666657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64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8846.4639999999999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11.741785192366125</v>
      </c>
      <c r="AF172" s="16" t="s">
        <v>5</v>
      </c>
    </row>
    <row r="173" spans="1:32" ht="18.75" x14ac:dyDescent="0.35">
      <c r="A173" s="34"/>
      <c r="B173" s="40">
        <f>+C66</f>
        <v>17</v>
      </c>
      <c r="C173" s="39" t="s">
        <v>70</v>
      </c>
      <c r="D173" s="72" t="str">
        <f>"#"&amp;+C24</f>
        <v>#10</v>
      </c>
      <c r="E173" s="37" t="s">
        <v>71</v>
      </c>
      <c r="F173" s="37" t="s">
        <v>72</v>
      </c>
      <c r="G173" s="43">
        <f>+C23-0.5</f>
        <v>20</v>
      </c>
      <c r="H173" s="39" t="s">
        <v>73</v>
      </c>
      <c r="I173" s="38"/>
      <c r="Q173" s="16" t="s">
        <v>7</v>
      </c>
      <c r="R173" s="16">
        <f>+R172*T171/1000</f>
        <v>2237.9980382947042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1.5565437500000003</v>
      </c>
      <c r="H174" s="39" t="s">
        <v>73</v>
      </c>
      <c r="I174" s="38"/>
      <c r="Q174" s="16" t="s">
        <v>12</v>
      </c>
      <c r="R174" s="16">
        <f>+R173*0.75</f>
        <v>1678.4985287210282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1465.5377835243055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103.87327999999999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6.1884641673858785E-2</v>
      </c>
    </row>
    <row r="177" spans="1:32" x14ac:dyDescent="0.25">
      <c r="A177" s="34"/>
      <c r="B177" s="40">
        <f>+C84</f>
        <v>13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24.391999999999999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1684.7662332694374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44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22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3150.3040167937429</v>
      </c>
      <c r="D181" s="39" t="s">
        <v>78</v>
      </c>
      <c r="E181" s="37" t="s">
        <v>79</v>
      </c>
      <c r="F181" s="80">
        <f>+C181/2000</f>
        <v>1.5751520083968715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201.05600000000001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15182.464000000002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12.996130272398469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3840.8933386808526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2880.6700040106393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197.31327999999999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6.84956207150728E-2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44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22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80.26400000000001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3531.6160000000004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32.019568378895094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893.43603048745695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670.07702286559265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113.08082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0.16875794295468971</v>
      </c>
      <c r="T199" s="16" t="s">
        <v>145</v>
      </c>
      <c r="V199" s="16">
        <f>+(C19*C19+C19*T170+3.1415*T170^2/4/4)/144</f>
        <v>13.814055555555557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44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3890.7439999999997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29.13051100996384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492.14451330536639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369.10838497902478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113.33936092895074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0.30706254732032556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37" man="1"/>
    <brk id="85" max="37" man="1"/>
    <brk id="126" max="37" man="1"/>
    <brk id="167" max="37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72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38" width="9.140625" style="16" hidden="1" customWidth="1"/>
    <col min="39" max="52" width="9.140625" style="16" customWidth="1"/>
    <col min="53" max="16384" width="9.140625" style="16"/>
  </cols>
  <sheetData>
    <row r="1" spans="1:17" ht="15.75" x14ac:dyDescent="0.25">
      <c r="A1" s="99" t="s">
        <v>105</v>
      </c>
      <c r="B1" s="1"/>
      <c r="C1" s="2"/>
      <c r="D1" s="2"/>
      <c r="E1" s="2"/>
      <c r="F1" s="2"/>
      <c r="G1" s="1"/>
      <c r="H1" s="1"/>
      <c r="I1" s="3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x14ac:dyDescent="0.25">
      <c r="A2" s="4" t="s">
        <v>100</v>
      </c>
      <c r="B2" s="5"/>
      <c r="C2" s="6"/>
      <c r="D2" s="5"/>
      <c r="E2" s="5"/>
      <c r="F2" s="5"/>
      <c r="G2" s="7"/>
      <c r="H2" s="7"/>
      <c r="I2" s="8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x14ac:dyDescent="0.25">
      <c r="A3" s="9" t="s">
        <v>416</v>
      </c>
      <c r="B3" s="10"/>
      <c r="C3" s="10"/>
      <c r="D3" s="10"/>
      <c r="E3" s="10"/>
      <c r="F3" s="10"/>
      <c r="G3" s="11"/>
      <c r="H3" s="11"/>
      <c r="I3" s="12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34"/>
      <c r="B7" s="35" t="s">
        <v>384</v>
      </c>
      <c r="C7" s="81">
        <v>1.6</v>
      </c>
      <c r="D7" s="29"/>
      <c r="E7" s="29"/>
      <c r="F7" s="29"/>
      <c r="G7" s="29"/>
      <c r="H7" s="29"/>
      <c r="I7" s="30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118"/>
      <c r="F8" s="118"/>
      <c r="G8" s="118"/>
      <c r="H8" s="118"/>
      <c r="I8" s="119"/>
      <c r="K8" s="16" t="s">
        <v>30</v>
      </c>
      <c r="L8" s="16" t="s">
        <v>31</v>
      </c>
      <c r="M8" s="16" t="s">
        <v>32</v>
      </c>
      <c r="N8" s="16" t="s">
        <v>345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3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120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40">
        <f>+C13*2</f>
        <v>240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41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12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3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40">
        <f>+IF(C13&lt;61,15,IF(C13&lt;121,21,IF(C13&lt;201,27,IF(C13&lt;281,30,36))))</f>
        <v>21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6.7830000000000004</v>
      </c>
    </row>
    <row r="20" spans="1:17" ht="18" x14ac:dyDescent="0.35">
      <c r="A20" s="34"/>
      <c r="B20" s="36" t="s">
        <v>396</v>
      </c>
      <c r="C20" s="41">
        <f>17+30/200*C13</f>
        <v>35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17" ht="18" x14ac:dyDescent="0.35">
      <c r="A21" s="34"/>
      <c r="B21" s="36" t="s">
        <v>397</v>
      </c>
      <c r="C21" s="84">
        <v>43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0.5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17" ht="17.25" x14ac:dyDescent="0.25">
      <c r="A22" s="34"/>
      <c r="B22" s="36" t="s">
        <v>398</v>
      </c>
      <c r="C22" s="42">
        <f>2*C19/12+C18</f>
        <v>6.5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0.19634375000000001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17" x14ac:dyDescent="0.25">
      <c r="A23" s="34"/>
      <c r="B23" s="36" t="s">
        <v>399</v>
      </c>
      <c r="C23" s="41">
        <f>2*C19/12</f>
        <v>3.5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4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43">
        <f>+C21-C15-C16-P21-0.5*L21</f>
        <v>32.340000000000003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44">
        <f>+C21-C15-C16-P21/2</f>
        <v>33.295000000000002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13.540749682261449</v>
      </c>
    </row>
    <row r="28" spans="1:17" ht="18" x14ac:dyDescent="0.35">
      <c r="A28" s="34"/>
      <c r="B28" s="36" t="s">
        <v>404</v>
      </c>
      <c r="C28" s="45">
        <f>+C21-C15-C16-1</f>
        <v>33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48"/>
      <c r="J29" s="16" t="s">
        <v>115</v>
      </c>
      <c r="M29" s="16">
        <f>+IF(C9="Round",C17,L27)</f>
        <v>12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122</v>
      </c>
      <c r="B31" s="37"/>
      <c r="C31" s="37"/>
      <c r="D31" s="37"/>
      <c r="E31" s="49" t="str">
        <f>+IF(C64&gt;C62,"OK; note that T&amp;S only","OK")</f>
        <v>OK</v>
      </c>
      <c r="F31" s="37"/>
      <c r="G31" s="37"/>
      <c r="H31" s="37"/>
      <c r="I31" s="38"/>
      <c r="J31" s="50" t="s">
        <v>84</v>
      </c>
    </row>
    <row r="32" spans="1:17" x14ac:dyDescent="0.25">
      <c r="A32" s="34" t="s">
        <v>123</v>
      </c>
      <c r="B32" s="37"/>
      <c r="C32" s="37"/>
      <c r="D32" s="37"/>
      <c r="E32" s="49" t="str">
        <f>+IF(C82&gt;C80,"NG; select smaller bar size","OK")</f>
        <v>NG; select smaller bar size</v>
      </c>
      <c r="F32" s="37"/>
      <c r="G32" s="37"/>
      <c r="H32" s="37"/>
      <c r="I32" s="38"/>
      <c r="J32" s="16" t="s">
        <v>1</v>
      </c>
      <c r="M32" s="16">
        <f>+C28</f>
        <v>33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16.5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7"/>
      <c r="H34" s="37"/>
      <c r="I34" s="38"/>
      <c r="J34" s="16" t="s">
        <v>114</v>
      </c>
      <c r="K34" s="51"/>
      <c r="M34" s="51">
        <f>+M29+M32</f>
        <v>45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">
        <v>130</v>
      </c>
      <c r="D35" s="37"/>
      <c r="E35" s="37"/>
      <c r="F35" s="37"/>
      <c r="G35" s="37"/>
      <c r="H35" s="37"/>
      <c r="I35" s="38"/>
      <c r="J35" s="16" t="s">
        <v>85</v>
      </c>
      <c r="K35" s="51"/>
      <c r="L35" s="51"/>
      <c r="M35" s="51">
        <f>+M34*3.1415*M32</f>
        <v>4665.1275000000005</v>
      </c>
      <c r="N35" s="16" t="s">
        <v>34</v>
      </c>
    </row>
    <row r="36" spans="1:25" ht="18.75" x14ac:dyDescent="0.35">
      <c r="A36" s="34" t="s">
        <v>127</v>
      </c>
      <c r="B36" s="37"/>
      <c r="C36" s="49" t="s">
        <v>130</v>
      </c>
      <c r="D36" s="37"/>
      <c r="E36" s="37"/>
      <c r="F36" s="37"/>
      <c r="G36" s="37"/>
      <c r="H36" s="37"/>
      <c r="I36" s="38"/>
      <c r="J36" s="16" t="s">
        <v>3</v>
      </c>
      <c r="K36" s="16">
        <f>4*(C10*1000)^0.5</f>
        <v>219.08902300206645</v>
      </c>
      <c r="L36" s="16" t="s">
        <v>5</v>
      </c>
      <c r="U36" s="16" t="s">
        <v>86</v>
      </c>
      <c r="X36" s="16">
        <f>+K39/M35*1000</f>
        <v>80.276877983238407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+IF(B125&lt;1,"OK","NG")</f>
        <v>NG</v>
      </c>
      <c r="D37" s="37"/>
      <c r="E37" s="37"/>
      <c r="F37" s="37"/>
      <c r="G37" s="37"/>
      <c r="H37" s="37"/>
      <c r="I37" s="38"/>
      <c r="J37" s="16" t="s">
        <v>7</v>
      </c>
      <c r="K37" s="16">
        <f>+K36*M35/1000</f>
        <v>1022.0782261550729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">
        <v>130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766.55866961630466</v>
      </c>
      <c r="L38" s="16" t="s">
        <v>8</v>
      </c>
    </row>
    <row r="39" spans="1:25" ht="18" x14ac:dyDescent="0.35">
      <c r="A39" s="55" t="s">
        <v>106</v>
      </c>
      <c r="B39" s="56"/>
      <c r="C39" s="56"/>
      <c r="D39" s="56"/>
      <c r="E39" s="56"/>
      <c r="F39" s="56"/>
      <c r="G39" s="56"/>
      <c r="H39" s="56"/>
      <c r="I39" s="57"/>
      <c r="J39" s="16" t="s">
        <v>57</v>
      </c>
      <c r="K39" s="16">
        <f>C7*C14-C7*3.1415/4*M34/12*M34/12*C21/12*0.15</f>
        <v>374.50187109375003</v>
      </c>
      <c r="L39" s="16" t="s">
        <v>8</v>
      </c>
      <c r="M39" s="16" t="s">
        <v>344</v>
      </c>
    </row>
    <row r="40" spans="1:25" ht="19.5" x14ac:dyDescent="0.35">
      <c r="A40" s="58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0.48854952130566104</v>
      </c>
    </row>
    <row r="41" spans="1:25" ht="18" x14ac:dyDescent="0.35">
      <c r="A41" s="34"/>
      <c r="B41" s="59" t="s">
        <v>22</v>
      </c>
      <c r="C41" s="60">
        <f>C7*2*C14-C7*C22*C23*C21/12*0.15</f>
        <v>748.43499999999995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13.678770047047358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14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40">
        <f>0</f>
        <v>0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44">
        <f>+C46/C22</f>
        <v>0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32.340000000000003</v>
      </c>
      <c r="D48" s="39" t="s">
        <v>0</v>
      </c>
      <c r="E48" s="37"/>
      <c r="F48" s="37"/>
      <c r="G48" s="37"/>
      <c r="H48" s="37"/>
      <c r="I48" s="38"/>
    </row>
    <row r="49" spans="1:9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3.1708930409344305E-3</v>
      </c>
      <c r="D49" s="39" t="s">
        <v>406</v>
      </c>
      <c r="E49" s="37"/>
      <c r="F49" s="37"/>
      <c r="G49" s="37"/>
      <c r="H49" s="37"/>
      <c r="I49" s="38"/>
    </row>
    <row r="50" spans="1:9" ht="18" x14ac:dyDescent="0.35">
      <c r="A50" s="34"/>
      <c r="B50" s="36" t="s">
        <v>38</v>
      </c>
      <c r="C50" s="61">
        <f>+C49*C22</f>
        <v>2.0610804766073798E-2</v>
      </c>
      <c r="D50" s="39" t="s">
        <v>407</v>
      </c>
      <c r="E50" s="37"/>
      <c r="F50" s="37"/>
      <c r="G50" s="37"/>
      <c r="H50" s="37"/>
      <c r="I50" s="38"/>
    </row>
    <row r="51" spans="1:9" ht="18" x14ac:dyDescent="0.35">
      <c r="A51" s="34"/>
      <c r="B51" s="36" t="s">
        <v>42</v>
      </c>
      <c r="C51" s="61">
        <f>+C50*4/3</f>
        <v>2.748107302143173E-2</v>
      </c>
      <c r="D51" s="39" t="s">
        <v>407</v>
      </c>
      <c r="E51" s="37"/>
      <c r="F51" s="37"/>
      <c r="G51" s="37"/>
      <c r="H51" s="37"/>
      <c r="I51" s="38"/>
    </row>
    <row r="52" spans="1:9" ht="18.75" x14ac:dyDescent="0.35">
      <c r="A52" s="34"/>
      <c r="B52" s="36" t="s">
        <v>420</v>
      </c>
      <c r="C52" s="61">
        <f>3*(C10*1000)^0.5*C22*12*C48/C11/1000</f>
        <v>6.9082055287896589</v>
      </c>
      <c r="D52" s="39" t="s">
        <v>407</v>
      </c>
      <c r="E52" s="37"/>
      <c r="F52" s="37"/>
      <c r="G52" s="37"/>
      <c r="H52" s="37"/>
      <c r="I52" s="38"/>
    </row>
    <row r="53" spans="1:9" ht="18" x14ac:dyDescent="0.35">
      <c r="A53" s="34"/>
      <c r="B53" s="36" t="s">
        <v>421</v>
      </c>
      <c r="C53" s="61">
        <f>200*C22*12*C48/C11/1000</f>
        <v>8.4084000000000021</v>
      </c>
      <c r="D53" s="39" t="s">
        <v>407</v>
      </c>
      <c r="E53" s="37"/>
      <c r="F53" s="37"/>
      <c r="G53" s="37"/>
      <c r="H53" s="37"/>
      <c r="I53" s="38"/>
    </row>
    <row r="54" spans="1:9" ht="18" x14ac:dyDescent="0.35">
      <c r="A54" s="34"/>
      <c r="B54" s="36" t="s">
        <v>43</v>
      </c>
      <c r="C54" s="61">
        <f>+MAX(C52:C53)</f>
        <v>8.4084000000000021</v>
      </c>
      <c r="D54" s="39" t="s">
        <v>407</v>
      </c>
      <c r="E54" s="37"/>
      <c r="F54" s="37"/>
      <c r="G54" s="37"/>
      <c r="H54" s="37"/>
      <c r="I54" s="38"/>
    </row>
    <row r="55" spans="1:9" ht="18" x14ac:dyDescent="0.35">
      <c r="A55" s="34"/>
      <c r="B55" s="36" t="s">
        <v>408</v>
      </c>
      <c r="C55" s="61">
        <f>+IF(C11=60,0.0018*C22*12*C21,0.002*C22*12*C21)</f>
        <v>6.0371999999999995</v>
      </c>
      <c r="D55" s="39" t="s">
        <v>407</v>
      </c>
      <c r="E55" s="37"/>
      <c r="F55" s="37"/>
      <c r="G55" s="37"/>
      <c r="H55" s="37"/>
      <c r="I55" s="38"/>
    </row>
    <row r="56" spans="1:9" ht="18" x14ac:dyDescent="0.35">
      <c r="A56" s="34"/>
      <c r="B56" s="36" t="s">
        <v>40</v>
      </c>
      <c r="C56" s="63">
        <f>+IF(C50&gt;C54,C50,IF(C51&gt;C54,C54,IF(C51&gt;C55,C51,C55)))</f>
        <v>6.0371999999999995</v>
      </c>
      <c r="D56" s="39" t="s">
        <v>407</v>
      </c>
      <c r="E56" s="37"/>
      <c r="F56" s="37"/>
      <c r="G56" s="37"/>
      <c r="H56" s="37"/>
      <c r="I56" s="38"/>
    </row>
    <row r="57" spans="1:9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</row>
    <row r="58" spans="1:9" x14ac:dyDescent="0.25">
      <c r="A58" s="34"/>
      <c r="B58" s="65" t="s">
        <v>44</v>
      </c>
      <c r="C58" s="43">
        <f>+C22/C23</f>
        <v>1.8571428571428572</v>
      </c>
      <c r="D58" s="39"/>
      <c r="E58" s="37"/>
      <c r="F58" s="37"/>
      <c r="G58" s="37"/>
      <c r="H58" s="37"/>
      <c r="I58" s="38"/>
    </row>
    <row r="59" spans="1:9" ht="18" x14ac:dyDescent="0.35">
      <c r="A59" s="34"/>
      <c r="B59" s="65" t="s">
        <v>46</v>
      </c>
      <c r="C59" s="61">
        <f>2/(C58+1)</f>
        <v>0.7</v>
      </c>
      <c r="D59" s="39"/>
      <c r="E59" s="37" t="s">
        <v>118</v>
      </c>
      <c r="F59" s="37"/>
      <c r="G59" s="37"/>
      <c r="H59" s="37"/>
      <c r="I59" s="38"/>
    </row>
    <row r="60" spans="1:9" ht="18" x14ac:dyDescent="0.35">
      <c r="A60" s="34"/>
      <c r="B60" s="36" t="s">
        <v>45</v>
      </c>
      <c r="C60" s="61">
        <f>+C50*C58*C59</f>
        <v>2.679404619589594E-2</v>
      </c>
      <c r="D60" s="39" t="s">
        <v>407</v>
      </c>
      <c r="E60" s="37"/>
      <c r="F60" s="37"/>
      <c r="G60" s="37"/>
      <c r="H60" s="37"/>
      <c r="I60" s="38"/>
    </row>
    <row r="61" spans="1:9" ht="18" x14ac:dyDescent="0.35">
      <c r="A61" s="34"/>
      <c r="B61" s="36" t="s">
        <v>40</v>
      </c>
      <c r="C61" s="61">
        <f>+MAX(C60,C56)</f>
        <v>6.0371999999999995</v>
      </c>
      <c r="D61" s="39" t="s">
        <v>407</v>
      </c>
      <c r="E61" s="37"/>
      <c r="F61" s="37"/>
      <c r="G61" s="37"/>
      <c r="H61" s="37"/>
      <c r="I61" s="38"/>
    </row>
    <row r="62" spans="1:9" x14ac:dyDescent="0.25">
      <c r="A62" s="34"/>
      <c r="B62" s="36" t="s">
        <v>409</v>
      </c>
      <c r="C62" s="44">
        <f>+C19-C12</f>
        <v>18</v>
      </c>
      <c r="D62" s="39" t="s">
        <v>0</v>
      </c>
      <c r="E62" s="37" t="s">
        <v>51</v>
      </c>
      <c r="F62" s="37"/>
      <c r="G62" s="37"/>
      <c r="H62" s="37"/>
      <c r="I62" s="38"/>
    </row>
    <row r="63" spans="1:9" ht="18" x14ac:dyDescent="0.35">
      <c r="A63" s="34"/>
      <c r="B63" s="36" t="s">
        <v>50</v>
      </c>
      <c r="C63" s="44">
        <v>1</v>
      </c>
      <c r="D63" s="39"/>
      <c r="E63" s="37" t="s">
        <v>49</v>
      </c>
      <c r="F63" s="37"/>
      <c r="G63" s="37"/>
      <c r="H63" s="37"/>
      <c r="I63" s="38"/>
    </row>
    <row r="64" spans="1:9" ht="18" x14ac:dyDescent="0.35">
      <c r="A64" s="34"/>
      <c r="B64" s="36" t="s">
        <v>47</v>
      </c>
      <c r="C64" s="61">
        <f>0.02*C63*C11*1000/(C10*1000)^0.5*L21*0.7</f>
        <v>7.6681158050723255</v>
      </c>
      <c r="D64" s="39" t="s">
        <v>0</v>
      </c>
      <c r="E64" s="37" t="str">
        <f>+IF(C64&gt;C62,"OK; note that T&amp;S only","OK; sufficient length available to develop hook")</f>
        <v>OK; sufficient length available to develop hook</v>
      </c>
      <c r="F64" s="37"/>
      <c r="G64" s="37"/>
      <c r="H64" s="37"/>
      <c r="I64" s="38"/>
    </row>
    <row r="65" spans="1:9" x14ac:dyDescent="0.25">
      <c r="A65" s="34"/>
      <c r="B65" s="36" t="s">
        <v>410</v>
      </c>
      <c r="C65" s="66">
        <f>+C61/L22</f>
        <v>30.74811395830017</v>
      </c>
      <c r="D65" s="39"/>
      <c r="E65" s="37"/>
      <c r="F65" s="37"/>
      <c r="G65" s="37"/>
      <c r="H65" s="37"/>
      <c r="I65" s="38"/>
    </row>
    <row r="66" spans="1:9" x14ac:dyDescent="0.25">
      <c r="A66" s="34"/>
      <c r="B66" s="36" t="s">
        <v>411</v>
      </c>
      <c r="C66" s="84">
        <v>8</v>
      </c>
      <c r="D66" s="39"/>
      <c r="E66" s="37"/>
      <c r="F66" s="37"/>
      <c r="G66" s="37"/>
      <c r="H66" s="37"/>
      <c r="I66" s="38"/>
    </row>
    <row r="67" spans="1:9" x14ac:dyDescent="0.25">
      <c r="A67" s="34"/>
      <c r="B67" s="37"/>
      <c r="C67" s="37"/>
      <c r="D67" s="37"/>
      <c r="E67" s="37"/>
      <c r="F67" s="37"/>
      <c r="G67" s="37"/>
      <c r="H67" s="37"/>
      <c r="I67" s="38"/>
    </row>
    <row r="68" spans="1:9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9" ht="18" x14ac:dyDescent="0.35">
      <c r="A69" s="34"/>
      <c r="B69" s="36" t="s">
        <v>25</v>
      </c>
      <c r="C69" s="60">
        <f>C7*C14*(1*(0.5*C18*12+C12-C43/4))-C7*(C22/2-C43/12/4)*C23*C21/12*0.15*(C22/2-C43/12/4)*12/2</f>
        <v>6561.943645833333</v>
      </c>
      <c r="D69" s="39" t="s">
        <v>26</v>
      </c>
      <c r="E69" s="37" t="s">
        <v>117</v>
      </c>
      <c r="F69" s="37"/>
      <c r="G69" s="37"/>
      <c r="H69" s="37"/>
      <c r="I69" s="38"/>
    </row>
    <row r="70" spans="1:9" ht="18" x14ac:dyDescent="0.35">
      <c r="A70" s="34"/>
      <c r="B70" s="36" t="s">
        <v>25</v>
      </c>
      <c r="C70" s="68">
        <f>+C69/C23</f>
        <v>1874.8410416666666</v>
      </c>
      <c r="D70" s="39" t="s">
        <v>27</v>
      </c>
      <c r="E70" s="37" t="s">
        <v>28</v>
      </c>
      <c r="F70" s="37"/>
      <c r="G70" s="37"/>
      <c r="H70" s="37"/>
      <c r="I70" s="38"/>
    </row>
    <row r="71" spans="1:9" x14ac:dyDescent="0.25">
      <c r="A71" s="34"/>
      <c r="B71" s="36" t="s">
        <v>1</v>
      </c>
      <c r="C71" s="44">
        <f>+C21-C15-C16-P21/2</f>
        <v>33.295000000000002</v>
      </c>
      <c r="D71" s="39" t="s">
        <v>0</v>
      </c>
      <c r="E71" s="37"/>
      <c r="F71" s="37"/>
      <c r="G71" s="37"/>
      <c r="H71" s="37"/>
      <c r="I71" s="38"/>
    </row>
    <row r="72" spans="1:9" ht="18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1.0810685399399897</v>
      </c>
      <c r="D72" s="39" t="s">
        <v>406</v>
      </c>
      <c r="E72" s="37"/>
      <c r="F72" s="37"/>
      <c r="G72" s="37"/>
      <c r="H72" s="37"/>
      <c r="I72" s="38"/>
    </row>
    <row r="73" spans="1:9" ht="18" x14ac:dyDescent="0.35">
      <c r="A73" s="34"/>
      <c r="B73" s="36" t="s">
        <v>38</v>
      </c>
      <c r="C73" s="61">
        <f>+C72*C23</f>
        <v>3.7837398897899641</v>
      </c>
      <c r="D73" s="39" t="s">
        <v>407</v>
      </c>
      <c r="E73" s="37"/>
      <c r="F73" s="37"/>
      <c r="G73" s="37"/>
      <c r="H73" s="37"/>
      <c r="I73" s="38"/>
    </row>
    <row r="74" spans="1:9" ht="18" x14ac:dyDescent="0.35">
      <c r="A74" s="34"/>
      <c r="B74" s="36" t="s">
        <v>42</v>
      </c>
      <c r="C74" s="61">
        <f>+C73*4/3</f>
        <v>5.0449865197199522</v>
      </c>
      <c r="D74" s="39" t="s">
        <v>407</v>
      </c>
      <c r="E74" s="37"/>
      <c r="F74" s="37"/>
      <c r="G74" s="37"/>
      <c r="H74" s="37"/>
      <c r="I74" s="38"/>
    </row>
    <row r="75" spans="1:9" ht="18.75" x14ac:dyDescent="0.35">
      <c r="A75" s="34"/>
      <c r="B75" s="36" t="s">
        <v>420</v>
      </c>
      <c r="C75" s="61">
        <f>3*(C10*1000)^0.5*C23*12*C71/C11/1000</f>
        <v>3.8296487359482461</v>
      </c>
      <c r="D75" s="39" t="s">
        <v>407</v>
      </c>
      <c r="E75" s="37"/>
      <c r="F75" s="37"/>
      <c r="G75" s="37"/>
      <c r="H75" s="37"/>
      <c r="I75" s="38"/>
    </row>
    <row r="76" spans="1:9" ht="18" x14ac:dyDescent="0.35">
      <c r="A76" s="34"/>
      <c r="B76" s="36" t="s">
        <v>421</v>
      </c>
      <c r="C76" s="61">
        <f>200*C23*12*C71/C11/1000</f>
        <v>4.6612999999999998</v>
      </c>
      <c r="D76" s="39" t="s">
        <v>407</v>
      </c>
      <c r="E76" s="37"/>
      <c r="F76" s="37"/>
      <c r="G76" s="37"/>
      <c r="H76" s="37"/>
      <c r="I76" s="38"/>
    </row>
    <row r="77" spans="1:9" ht="18" x14ac:dyDescent="0.35">
      <c r="A77" s="34"/>
      <c r="B77" s="36" t="s">
        <v>43</v>
      </c>
      <c r="C77" s="61">
        <f>+MAX(C75:C76)</f>
        <v>4.6612999999999998</v>
      </c>
      <c r="D77" s="39" t="s">
        <v>407</v>
      </c>
      <c r="E77" s="37"/>
      <c r="F77" s="37"/>
      <c r="G77" s="37"/>
      <c r="H77" s="37"/>
      <c r="I77" s="38"/>
    </row>
    <row r="78" spans="1:9" ht="18" x14ac:dyDescent="0.35">
      <c r="A78" s="34"/>
      <c r="B78" s="36" t="s">
        <v>408</v>
      </c>
      <c r="C78" s="61">
        <f>+IF(C11=60,0.0018*C23*12*C21,0.002*C23*12*C21)</f>
        <v>3.2507999999999999</v>
      </c>
      <c r="D78" s="39" t="s">
        <v>407</v>
      </c>
      <c r="E78" s="37"/>
      <c r="F78" s="37"/>
      <c r="G78" s="37"/>
      <c r="H78" s="37"/>
      <c r="I78" s="38"/>
    </row>
    <row r="79" spans="1:9" ht="18" x14ac:dyDescent="0.35">
      <c r="A79" s="34"/>
      <c r="B79" s="36" t="s">
        <v>40</v>
      </c>
      <c r="C79" s="61">
        <f>+IF(C73&gt;C77,C73,IF(C74&gt;C77,C77,IF(C74&gt;C78,C74,C78)))</f>
        <v>4.6612999999999998</v>
      </c>
      <c r="D79" s="39" t="s">
        <v>407</v>
      </c>
      <c r="E79" s="37"/>
      <c r="F79" s="37"/>
      <c r="G79" s="37"/>
      <c r="H79" s="37"/>
      <c r="I79" s="38"/>
    </row>
    <row r="80" spans="1:9" x14ac:dyDescent="0.25">
      <c r="A80" s="34"/>
      <c r="B80" s="36" t="s">
        <v>409</v>
      </c>
      <c r="C80" s="68">
        <f>+C19-C12</f>
        <v>18</v>
      </c>
      <c r="D80" s="39" t="s">
        <v>0</v>
      </c>
      <c r="E80" s="37" t="s">
        <v>51</v>
      </c>
      <c r="F80" s="37"/>
      <c r="G80" s="37"/>
      <c r="H80" s="37"/>
      <c r="I80" s="38"/>
    </row>
    <row r="81" spans="1:17" ht="18" x14ac:dyDescent="0.35">
      <c r="A81" s="34"/>
      <c r="B81" s="36" t="s">
        <v>50</v>
      </c>
      <c r="C81" s="44">
        <v>1</v>
      </c>
      <c r="D81" s="39"/>
      <c r="E81" s="37" t="s">
        <v>49</v>
      </c>
      <c r="F81" s="37"/>
      <c r="G81" s="37"/>
      <c r="H81" s="37"/>
      <c r="I81" s="38"/>
    </row>
    <row r="82" spans="1:17" ht="18" x14ac:dyDescent="0.35">
      <c r="A82" s="34"/>
      <c r="B82" s="36" t="s">
        <v>47</v>
      </c>
      <c r="C82" s="61">
        <f>0.02*C63*C11*1000/(C10*1000)^0.5*P21*0.7</f>
        <v>21.624086570303955</v>
      </c>
      <c r="D82" s="39" t="s">
        <v>0</v>
      </c>
      <c r="E82" s="37" t="str">
        <f>+IF(C82&gt;C80,"NG; insufficient length available to develop hook","OK; sufficient length available to develop hook")</f>
        <v>NG; insufficient length available to develop hook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2.985325955390326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8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23.5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33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v>0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16.5</v>
      </c>
      <c r="C88" s="39" t="s">
        <v>0</v>
      </c>
      <c r="D88" s="37"/>
      <c r="E88" s="37"/>
      <c r="F88" s="37"/>
      <c r="G88" s="70"/>
      <c r="H88" s="37"/>
      <c r="I88" s="38"/>
      <c r="J88" s="16" t="s">
        <v>56</v>
      </c>
      <c r="K88" s="51"/>
      <c r="L88" s="51"/>
      <c r="M88" s="51"/>
      <c r="N88" s="51"/>
      <c r="O88" s="51">
        <f>+C18/2*12+C12</f>
        <v>21</v>
      </c>
      <c r="P88" s="16" t="s">
        <v>0</v>
      </c>
      <c r="Q88" s="16" t="s">
        <v>119</v>
      </c>
    </row>
    <row r="89" spans="1:17" x14ac:dyDescent="0.25">
      <c r="A89" s="34"/>
      <c r="B89" s="70"/>
      <c r="C89" s="70"/>
      <c r="D89" s="71" t="s">
        <v>413</v>
      </c>
      <c r="E89" s="72">
        <f>+IF(M86&gt;O88,0,2)</f>
        <v>0</v>
      </c>
      <c r="F89" s="37"/>
      <c r="G89" s="37"/>
      <c r="H89" s="37"/>
      <c r="I89" s="38"/>
    </row>
    <row r="90" spans="1:17" ht="18.75" x14ac:dyDescent="0.35">
      <c r="A90" s="59" t="s">
        <v>3</v>
      </c>
      <c r="B90" s="60">
        <f>4*(C10*1000)^0.5</f>
        <v>219.08902300206645</v>
      </c>
      <c r="C90" s="39" t="s">
        <v>5</v>
      </c>
      <c r="D90" s="37"/>
      <c r="E90" s="37"/>
      <c r="F90" s="37"/>
      <c r="G90" s="37"/>
      <c r="H90" s="37"/>
      <c r="I90" s="38"/>
    </row>
    <row r="91" spans="1:17" ht="18" x14ac:dyDescent="0.35">
      <c r="A91" s="59" t="s">
        <v>11</v>
      </c>
      <c r="B91" s="68">
        <f>MIN(4*(B87+C43),2*C23*12)</f>
        <v>84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219.08902300206645</v>
      </c>
      <c r="P91" s="16" t="s">
        <v>5</v>
      </c>
    </row>
    <row r="92" spans="1:17" ht="18.75" x14ac:dyDescent="0.35">
      <c r="A92" s="59" t="s">
        <v>7</v>
      </c>
      <c r="B92" s="68">
        <f>+B90*B91*B87/1000</f>
        <v>607.31477176172814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455.48607882129613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-6.3723611111111129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-1.3990243406783072E-2</v>
      </c>
      <c r="C95" s="39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40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33</v>
      </c>
      <c r="C99" s="39" t="s">
        <v>0</v>
      </c>
      <c r="D99" s="37"/>
      <c r="E99" s="37"/>
      <c r="F99" s="37"/>
      <c r="G99" s="37"/>
      <c r="H99" s="37"/>
      <c r="I99" s="38"/>
      <c r="J99" s="16" t="s">
        <v>59</v>
      </c>
      <c r="K99" s="51"/>
      <c r="L99" s="51"/>
      <c r="M99" s="51"/>
      <c r="N99" s="51"/>
      <c r="O99" s="51">
        <f>0.5*C18*12+C12</f>
        <v>21</v>
      </c>
      <c r="P99" s="16" t="s">
        <v>0</v>
      </c>
      <c r="Q99" s="16" t="s">
        <v>119</v>
      </c>
    </row>
    <row r="100" spans="1:17" x14ac:dyDescent="0.25">
      <c r="A100" s="34"/>
      <c r="B100" s="70"/>
      <c r="C100" s="70"/>
      <c r="D100" s="59" t="s">
        <v>414</v>
      </c>
      <c r="E100" s="72">
        <f>+IF(M98&gt;O99,0,1)</f>
        <v>0</v>
      </c>
      <c r="F100" s="37"/>
      <c r="G100" s="37"/>
      <c r="H100" s="37"/>
      <c r="I100" s="38"/>
    </row>
    <row r="101" spans="1:17" ht="18.75" x14ac:dyDescent="0.35">
      <c r="A101" s="59" t="s">
        <v>60</v>
      </c>
      <c r="B101" s="60">
        <f>2*(C10*1000)^0.5</f>
        <v>109.54451150103323</v>
      </c>
      <c r="C101" s="39" t="s">
        <v>5</v>
      </c>
      <c r="D101" s="37"/>
      <c r="E101" s="37"/>
      <c r="F101" s="37"/>
      <c r="G101" s="37"/>
      <c r="H101" s="37"/>
      <c r="I101" s="38"/>
      <c r="L101" s="16" t="s">
        <v>83</v>
      </c>
      <c r="O101" s="16">
        <f>+B101</f>
        <v>109.54451150103323</v>
      </c>
      <c r="P101" s="16" t="s">
        <v>5</v>
      </c>
    </row>
    <row r="102" spans="1:17" x14ac:dyDescent="0.25">
      <c r="A102" s="59" t="s">
        <v>61</v>
      </c>
      <c r="B102" s="68">
        <f>+C23*12*B99</f>
        <v>1386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151.82869294043206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113.87151970532405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0.2508333333333338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2.2027749693904024E-3</v>
      </c>
      <c r="C106" s="39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133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132</v>
      </c>
      <c r="B109" s="37"/>
      <c r="C109" s="37"/>
      <c r="D109" s="37"/>
      <c r="E109" s="37"/>
      <c r="F109" s="37"/>
      <c r="G109" s="37"/>
      <c r="H109" s="37"/>
      <c r="I109" s="38"/>
    </row>
    <row r="110" spans="1:17" x14ac:dyDescent="0.25">
      <c r="A110" s="59" t="s">
        <v>1</v>
      </c>
      <c r="B110" s="40">
        <f>+C21-C15-C16-P21/2</f>
        <v>33.295000000000002</v>
      </c>
      <c r="C110" s="39" t="s">
        <v>0</v>
      </c>
      <c r="D110" s="37"/>
      <c r="E110" s="37"/>
      <c r="F110" s="37"/>
      <c r="G110" s="37"/>
      <c r="H110" s="37"/>
      <c r="I110" s="38"/>
    </row>
    <row r="111" spans="1:17" x14ac:dyDescent="0.25">
      <c r="A111" s="59" t="s">
        <v>63</v>
      </c>
      <c r="B111" s="44">
        <f>+C18*12/2-C43/2+C12</f>
        <v>14</v>
      </c>
      <c r="C111" s="39" t="s">
        <v>0</v>
      </c>
      <c r="D111" s="70"/>
      <c r="E111" s="37"/>
      <c r="F111" s="37"/>
      <c r="G111" s="37"/>
      <c r="H111" s="37"/>
      <c r="I111" s="38"/>
    </row>
    <row r="112" spans="1:17" x14ac:dyDescent="0.25">
      <c r="A112" s="59" t="s">
        <v>64</v>
      </c>
      <c r="B112" s="61">
        <f>MAX(B111/B110,0)</f>
        <v>0.42048355608950289</v>
      </c>
      <c r="C112" s="39"/>
      <c r="D112" s="70" t="str">
        <f>+IF(B112&lt;1,"OK, this limit state should be checked","neglect calculations below since this limit state does not apply")</f>
        <v>OK, this limit state should be checked</v>
      </c>
      <c r="E112" s="37"/>
      <c r="F112" s="37"/>
      <c r="G112" s="37"/>
      <c r="H112" s="37"/>
      <c r="I112" s="38"/>
    </row>
    <row r="113" spans="1:16" ht="18" x14ac:dyDescent="0.35">
      <c r="A113" s="59" t="s">
        <v>57</v>
      </c>
      <c r="B113" s="68">
        <f>1*C7*C14-C7*0.15*C22*C23*C21/12*((C22/2-C43/2/12)/C22)</f>
        <v>375.97333333333336</v>
      </c>
      <c r="C113" s="39" t="s">
        <v>18</v>
      </c>
      <c r="D113" s="70"/>
      <c r="E113" s="37"/>
      <c r="F113" s="70"/>
      <c r="G113" s="37"/>
      <c r="H113" s="37"/>
      <c r="I113" s="38"/>
      <c r="L113" s="16" t="s">
        <v>83</v>
      </c>
      <c r="O113" s="16">
        <f>+B117/2*B101</f>
        <v>547.72255750516615</v>
      </c>
      <c r="P113" s="16" t="s">
        <v>5</v>
      </c>
    </row>
    <row r="114" spans="1:16" ht="18" x14ac:dyDescent="0.35">
      <c r="A114" s="59" t="s">
        <v>25</v>
      </c>
      <c r="B114" s="68">
        <f>C7*C14*(1*B111)-C7*0.15*C22*C23*C21/12*((C22/2-C43/2/12)/C22)*(C22/2-C43/2/12)*12/2</f>
        <v>5247.5733333333337</v>
      </c>
      <c r="C114" s="39" t="s">
        <v>26</v>
      </c>
      <c r="D114" s="70"/>
      <c r="E114" s="37"/>
      <c r="F114" s="70"/>
      <c r="G114" s="37"/>
      <c r="H114" s="37"/>
      <c r="I114" s="38"/>
    </row>
    <row r="115" spans="1:16" ht="18" x14ac:dyDescent="0.35">
      <c r="A115" s="59" t="s">
        <v>65</v>
      </c>
      <c r="B115" s="61">
        <f>+B113*B110/B114</f>
        <v>2.3854896993658019</v>
      </c>
      <c r="C115" s="39"/>
      <c r="D115" s="70"/>
      <c r="E115" s="70"/>
      <c r="F115" s="70"/>
      <c r="G115" s="37"/>
      <c r="H115" s="37"/>
      <c r="I115" s="38"/>
    </row>
    <row r="116" spans="1:16" ht="18" x14ac:dyDescent="0.35">
      <c r="A116" s="59" t="s">
        <v>415</v>
      </c>
      <c r="B116" s="61">
        <f>1/B115</f>
        <v>0.41920113939953568</v>
      </c>
      <c r="C116" s="39"/>
      <c r="D116" s="70"/>
      <c r="E116" s="70"/>
      <c r="F116" s="70"/>
      <c r="G116" s="37"/>
      <c r="H116" s="37"/>
      <c r="I116" s="38"/>
    </row>
    <row r="117" spans="1:16" x14ac:dyDescent="0.25">
      <c r="A117" s="59" t="s">
        <v>6</v>
      </c>
      <c r="B117" s="44">
        <f>+MIN(1/B112*(3.5-2.5*B116)*(1.9+0.1*B115),10)</f>
        <v>10</v>
      </c>
      <c r="C117" s="39"/>
      <c r="D117" s="70"/>
      <c r="E117" s="70"/>
      <c r="F117" s="37"/>
      <c r="G117" s="37"/>
      <c r="H117" s="37"/>
      <c r="I117" s="38"/>
    </row>
    <row r="118" spans="1:16" ht="18" x14ac:dyDescent="0.35">
      <c r="A118" s="59" t="s">
        <v>12</v>
      </c>
      <c r="B118" s="68">
        <f>0.75*B117*(C10*1000)^0.5/1000*C23*12*B110</f>
        <v>574.44731039223689</v>
      </c>
      <c r="C118" s="39" t="s">
        <v>18</v>
      </c>
      <c r="D118" s="37"/>
      <c r="E118" s="37"/>
      <c r="F118" s="37"/>
      <c r="G118" s="37"/>
      <c r="H118" s="37"/>
      <c r="I118" s="38"/>
    </row>
    <row r="119" spans="1:16" ht="18" x14ac:dyDescent="0.35">
      <c r="A119" s="59" t="s">
        <v>14</v>
      </c>
      <c r="B119" s="63">
        <f>+B113/B118</f>
        <v>0.6544957675519727</v>
      </c>
      <c r="C119" s="39"/>
      <c r="D119" s="37"/>
      <c r="E119" s="37"/>
      <c r="F119" s="37"/>
      <c r="G119" s="37"/>
      <c r="H119" s="37"/>
      <c r="I119" s="38"/>
    </row>
    <row r="120" spans="1:16" x14ac:dyDescent="0.25">
      <c r="A120" s="34" t="s">
        <v>351</v>
      </c>
      <c r="B120" s="37"/>
      <c r="C120" s="37"/>
      <c r="D120" s="37"/>
      <c r="E120" s="37"/>
      <c r="F120" s="37"/>
      <c r="G120" s="37"/>
      <c r="H120" s="37"/>
      <c r="I120" s="38"/>
    </row>
    <row r="121" spans="1:16" ht="18" x14ac:dyDescent="0.35">
      <c r="A121" s="59" t="s">
        <v>65</v>
      </c>
      <c r="B121" s="43">
        <f>+B115</f>
        <v>2.3854896993658019</v>
      </c>
      <c r="C121" s="39"/>
      <c r="D121" s="37"/>
      <c r="E121" s="37"/>
      <c r="F121" s="37"/>
      <c r="G121" s="37"/>
      <c r="H121" s="37"/>
      <c r="I121" s="38"/>
    </row>
    <row r="122" spans="1:16" ht="18" x14ac:dyDescent="0.35">
      <c r="A122" s="59" t="s">
        <v>415</v>
      </c>
      <c r="B122" s="61">
        <f>1/B121</f>
        <v>0.41920113939953568</v>
      </c>
      <c r="C122" s="39"/>
      <c r="D122" s="37"/>
      <c r="E122" s="37"/>
      <c r="F122" s="37"/>
      <c r="G122" s="37"/>
      <c r="H122" s="37"/>
      <c r="I122" s="38"/>
    </row>
    <row r="123" spans="1:16" x14ac:dyDescent="0.25">
      <c r="A123" s="59" t="s">
        <v>6</v>
      </c>
      <c r="B123" s="61">
        <f>+MIN(1/1*(3.5-2.5*B122)*(1.9+0.1*B121),10)</f>
        <v>5.2437159826302349</v>
      </c>
      <c r="C123" s="39"/>
      <c r="D123" s="37"/>
      <c r="E123" s="37"/>
      <c r="F123" s="37"/>
      <c r="G123" s="37"/>
      <c r="H123" s="37"/>
      <c r="I123" s="38"/>
    </row>
    <row r="124" spans="1:16" ht="18" x14ac:dyDescent="0.35">
      <c r="A124" s="59" t="s">
        <v>12</v>
      </c>
      <c r="B124" s="68">
        <f>0.75*B123*(C10*1000)^0.5/1000*C23*12*B110</f>
        <v>301.22385426827248</v>
      </c>
      <c r="C124" s="39" t="s">
        <v>18</v>
      </c>
      <c r="D124" s="37"/>
      <c r="E124" s="37"/>
      <c r="F124" s="37"/>
      <c r="G124" s="37"/>
      <c r="H124" s="37"/>
      <c r="I124" s="38"/>
    </row>
    <row r="125" spans="1:16" ht="18" x14ac:dyDescent="0.35">
      <c r="A125" s="59" t="s">
        <v>14</v>
      </c>
      <c r="B125" s="63">
        <f>+B113/B124</f>
        <v>1.2481525882026872</v>
      </c>
      <c r="C125" s="39"/>
      <c r="D125" s="37"/>
      <c r="E125" s="37"/>
      <c r="F125" s="37"/>
      <c r="G125" s="37"/>
      <c r="H125" s="37"/>
      <c r="I125" s="38"/>
    </row>
    <row r="126" spans="1:16" x14ac:dyDescent="0.2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</row>
    <row r="127" spans="1:16" ht="18.75" x14ac:dyDescent="0.3">
      <c r="A127" s="62" t="s">
        <v>67</v>
      </c>
      <c r="B127" s="73"/>
      <c r="C127" s="73"/>
      <c r="D127" s="73"/>
      <c r="E127" s="73"/>
      <c r="F127" s="73"/>
      <c r="G127" s="73"/>
      <c r="H127" s="73"/>
      <c r="I127" s="74"/>
    </row>
    <row r="128" spans="1:16" x14ac:dyDescent="0.25">
      <c r="A128" s="75" t="s">
        <v>68</v>
      </c>
      <c r="B128" s="70"/>
      <c r="C128" s="70"/>
      <c r="D128" s="70"/>
      <c r="E128" s="70"/>
      <c r="F128" s="70"/>
      <c r="G128" s="70"/>
      <c r="H128" s="70"/>
      <c r="I128" s="76"/>
    </row>
    <row r="129" spans="1:9" x14ac:dyDescent="0.25">
      <c r="A129" s="59" t="s">
        <v>417</v>
      </c>
      <c r="B129" s="77">
        <f>+C23*C22*C21/12/27</f>
        <v>3.0192901234567899</v>
      </c>
      <c r="C129" s="39" t="s">
        <v>418</v>
      </c>
      <c r="D129" s="70"/>
      <c r="E129" s="70"/>
      <c r="F129" s="70"/>
      <c r="G129" s="70"/>
      <c r="H129" s="70"/>
      <c r="I129" s="76"/>
    </row>
    <row r="130" spans="1:9" x14ac:dyDescent="0.25">
      <c r="A130" s="75"/>
      <c r="B130" s="70"/>
      <c r="C130" s="70"/>
      <c r="D130" s="70"/>
      <c r="E130" s="70"/>
      <c r="F130" s="70"/>
      <c r="G130" s="70"/>
      <c r="H130" s="70"/>
      <c r="I130" s="76"/>
    </row>
    <row r="131" spans="1:9" x14ac:dyDescent="0.25">
      <c r="A131" s="75" t="s">
        <v>69</v>
      </c>
      <c r="B131" s="70"/>
      <c r="C131" s="70"/>
      <c r="D131" s="70"/>
      <c r="E131" s="70"/>
      <c r="F131" s="70"/>
      <c r="G131" s="70"/>
      <c r="H131" s="70"/>
      <c r="I131" s="76"/>
    </row>
    <row r="132" spans="1:9" x14ac:dyDescent="0.25">
      <c r="A132" s="34"/>
      <c r="B132" s="40">
        <f>+C66</f>
        <v>8</v>
      </c>
      <c r="C132" s="39" t="s">
        <v>70</v>
      </c>
      <c r="D132" s="72" t="str">
        <f>"#"&amp;+C24</f>
        <v>#4</v>
      </c>
      <c r="E132" s="70" t="s">
        <v>71</v>
      </c>
      <c r="F132" s="70" t="s">
        <v>72</v>
      </c>
      <c r="G132" s="43">
        <f>+C23-0.5</f>
        <v>3</v>
      </c>
      <c r="H132" s="39" t="s">
        <v>73</v>
      </c>
      <c r="I132" s="76"/>
    </row>
    <row r="133" spans="1:9" x14ac:dyDescent="0.25">
      <c r="A133" s="34"/>
      <c r="B133" s="44">
        <f>+B132*2</f>
        <v>16</v>
      </c>
      <c r="C133" s="39" t="s">
        <v>70</v>
      </c>
      <c r="D133" s="70"/>
      <c r="E133" s="70" t="s">
        <v>74</v>
      </c>
      <c r="F133" s="70" t="s">
        <v>72</v>
      </c>
      <c r="G133" s="63">
        <f>+M19/12</f>
        <v>0.56525000000000003</v>
      </c>
      <c r="H133" s="39" t="s">
        <v>73</v>
      </c>
      <c r="I133" s="76"/>
    </row>
    <row r="134" spans="1:9" x14ac:dyDescent="0.25">
      <c r="A134" s="71" t="s">
        <v>75</v>
      </c>
      <c r="B134" s="78">
        <f>+B132*G132*L22/144*490+B133*G133*L22/144*490</f>
        <v>22.077163949652778</v>
      </c>
      <c r="C134" s="39" t="s">
        <v>78</v>
      </c>
      <c r="D134" s="70"/>
      <c r="E134" s="70"/>
      <c r="F134" s="70"/>
      <c r="G134" s="70"/>
      <c r="H134" s="70"/>
      <c r="I134" s="76"/>
    </row>
    <row r="135" spans="1:9" x14ac:dyDescent="0.25">
      <c r="A135" s="75" t="s">
        <v>76</v>
      </c>
      <c r="B135" s="70"/>
      <c r="C135" s="70"/>
      <c r="D135" s="70"/>
      <c r="E135" s="70"/>
      <c r="F135" s="70"/>
      <c r="G135" s="70"/>
      <c r="H135" s="70"/>
      <c r="I135" s="76"/>
    </row>
    <row r="136" spans="1:9" x14ac:dyDescent="0.25">
      <c r="A136" s="34"/>
      <c r="B136" s="40">
        <f>+C84</f>
        <v>8</v>
      </c>
      <c r="C136" s="39" t="s">
        <v>70</v>
      </c>
      <c r="D136" s="72" t="str">
        <f>"#"&amp;+C25</f>
        <v>#11</v>
      </c>
      <c r="E136" s="70" t="s">
        <v>71</v>
      </c>
      <c r="F136" s="70" t="s">
        <v>72</v>
      </c>
      <c r="G136" s="43">
        <f>+C22-0.5</f>
        <v>6</v>
      </c>
      <c r="H136" s="39" t="s">
        <v>73</v>
      </c>
      <c r="I136" s="76"/>
    </row>
    <row r="137" spans="1:9" x14ac:dyDescent="0.25">
      <c r="A137" s="34"/>
      <c r="B137" s="44">
        <f>+B136*2</f>
        <v>16</v>
      </c>
      <c r="C137" s="39" t="s">
        <v>70</v>
      </c>
      <c r="D137" s="70"/>
      <c r="E137" s="70" t="s">
        <v>74</v>
      </c>
      <c r="F137" s="70" t="s">
        <v>72</v>
      </c>
      <c r="G137" s="63">
        <f>+M20/12</f>
        <v>1.7281312499999999</v>
      </c>
      <c r="H137" s="39" t="s">
        <v>73</v>
      </c>
      <c r="I137" s="76"/>
    </row>
    <row r="138" spans="1:9" x14ac:dyDescent="0.25">
      <c r="A138" s="71" t="s">
        <v>75</v>
      </c>
      <c r="B138" s="78">
        <f>+B136*G136*P22/144*490+B137*G137*P22/144*490</f>
        <v>401.93737550601793</v>
      </c>
      <c r="C138" s="39" t="s">
        <v>78</v>
      </c>
      <c r="D138" s="70"/>
      <c r="E138" s="70"/>
      <c r="F138" s="70"/>
      <c r="G138" s="70"/>
      <c r="H138" s="70"/>
      <c r="I138" s="76"/>
    </row>
    <row r="139" spans="1:9" x14ac:dyDescent="0.25">
      <c r="A139" s="75"/>
      <c r="B139" s="70"/>
      <c r="C139" s="70"/>
      <c r="D139" s="70"/>
      <c r="E139" s="70"/>
      <c r="F139" s="70"/>
      <c r="G139" s="70"/>
      <c r="H139" s="70"/>
      <c r="I139" s="76"/>
    </row>
    <row r="140" spans="1:9" x14ac:dyDescent="0.25">
      <c r="A140" s="75"/>
      <c r="B140" s="71" t="s">
        <v>77</v>
      </c>
      <c r="C140" s="79">
        <f>+B138+B134</f>
        <v>424.01453945567073</v>
      </c>
      <c r="D140" s="39" t="s">
        <v>78</v>
      </c>
      <c r="E140" s="70" t="s">
        <v>79</v>
      </c>
      <c r="F140" s="80">
        <f>+C140/2000</f>
        <v>0.21200726972783537</v>
      </c>
      <c r="G140" s="39" t="s">
        <v>19</v>
      </c>
      <c r="H140" s="70"/>
      <c r="I140" s="76"/>
    </row>
    <row r="141" spans="1:9" x14ac:dyDescent="0.25">
      <c r="A141" s="75"/>
      <c r="B141" s="70"/>
      <c r="C141" s="70"/>
      <c r="D141" s="70"/>
      <c r="E141" s="70"/>
      <c r="F141" s="70"/>
      <c r="G141" s="70"/>
      <c r="H141" s="70"/>
      <c r="I141" s="76"/>
    </row>
    <row r="142" spans="1:9" x14ac:dyDescent="0.25">
      <c r="A142" s="75"/>
      <c r="B142" s="70"/>
      <c r="C142" s="70"/>
      <c r="D142" s="70"/>
      <c r="E142" s="70"/>
      <c r="F142" s="70"/>
      <c r="G142" s="70"/>
      <c r="H142" s="70"/>
      <c r="I142" s="76"/>
    </row>
    <row r="143" spans="1:9" x14ac:dyDescent="0.25">
      <c r="A143" s="33" t="s">
        <v>419</v>
      </c>
      <c r="B143" s="29"/>
      <c r="C143" s="29"/>
      <c r="D143" s="29"/>
      <c r="E143" s="29"/>
      <c r="F143" s="29"/>
      <c r="G143" s="29"/>
      <c r="H143" s="29"/>
      <c r="I143" s="30"/>
    </row>
    <row r="144" spans="1:9" x14ac:dyDescent="0.25">
      <c r="A144" s="87"/>
      <c r="B144" s="29"/>
      <c r="C144" s="29"/>
      <c r="D144" s="29"/>
      <c r="E144" s="29"/>
      <c r="F144" s="29"/>
      <c r="G144" s="29"/>
      <c r="H144" s="29"/>
      <c r="I144" s="30"/>
    </row>
    <row r="145" spans="1:9" x14ac:dyDescent="0.25">
      <c r="A145" s="87"/>
      <c r="B145" s="29"/>
      <c r="C145" s="29"/>
      <c r="D145" s="29"/>
      <c r="E145" s="29"/>
      <c r="F145" s="29"/>
      <c r="G145" s="29"/>
      <c r="H145" s="29"/>
      <c r="I145" s="30"/>
    </row>
    <row r="146" spans="1:9" x14ac:dyDescent="0.25">
      <c r="A146" s="87"/>
      <c r="B146" s="29"/>
      <c r="C146" s="29"/>
      <c r="D146" s="29"/>
      <c r="E146" s="29"/>
      <c r="F146" s="29"/>
      <c r="G146" s="29"/>
      <c r="H146" s="29"/>
      <c r="I146" s="30"/>
    </row>
    <row r="147" spans="1:9" x14ac:dyDescent="0.25">
      <c r="A147" s="87"/>
      <c r="B147" s="29"/>
      <c r="C147" s="29"/>
      <c r="D147" s="29"/>
      <c r="E147" s="29"/>
      <c r="F147" s="29"/>
      <c r="G147" s="29"/>
      <c r="H147" s="29"/>
      <c r="I147" s="30"/>
    </row>
    <row r="148" spans="1:9" x14ac:dyDescent="0.25">
      <c r="A148" s="87"/>
      <c r="B148" s="29"/>
      <c r="C148" s="29"/>
      <c r="D148" s="29"/>
      <c r="E148" s="29"/>
      <c r="F148" s="29"/>
      <c r="G148" s="29"/>
      <c r="H148" s="29"/>
      <c r="I148" s="30"/>
    </row>
    <row r="149" spans="1:9" x14ac:dyDescent="0.25">
      <c r="A149" s="87"/>
      <c r="B149" s="29"/>
      <c r="C149" s="29"/>
      <c r="D149" s="29"/>
      <c r="E149" s="29"/>
      <c r="F149" s="29"/>
      <c r="G149" s="29"/>
      <c r="H149" s="29"/>
      <c r="I149" s="30"/>
    </row>
    <row r="150" spans="1:9" x14ac:dyDescent="0.25">
      <c r="A150" s="87"/>
      <c r="B150" s="29"/>
      <c r="C150" s="29"/>
      <c r="D150" s="29"/>
      <c r="E150" s="29"/>
      <c r="F150" s="29"/>
      <c r="G150" s="29"/>
      <c r="H150" s="29"/>
      <c r="I150" s="30"/>
    </row>
    <row r="151" spans="1:9" x14ac:dyDescent="0.25">
      <c r="A151" s="87"/>
      <c r="B151" s="29"/>
      <c r="C151" s="29"/>
      <c r="D151" s="29"/>
      <c r="E151" s="29"/>
      <c r="F151" s="29"/>
      <c r="G151" s="29"/>
      <c r="H151" s="29"/>
      <c r="I151" s="30"/>
    </row>
    <row r="152" spans="1:9" x14ac:dyDescent="0.25">
      <c r="A152" s="87"/>
      <c r="B152" s="29"/>
      <c r="C152" s="29"/>
      <c r="D152" s="29"/>
      <c r="E152" s="29"/>
      <c r="F152" s="29"/>
      <c r="G152" s="29"/>
      <c r="H152" s="29"/>
      <c r="I152" s="30"/>
    </row>
    <row r="153" spans="1:9" x14ac:dyDescent="0.25">
      <c r="A153" s="87"/>
      <c r="B153" s="29"/>
      <c r="C153" s="29"/>
      <c r="D153" s="29"/>
      <c r="E153" s="29"/>
      <c r="F153" s="29"/>
      <c r="G153" s="29"/>
      <c r="H153" s="29"/>
      <c r="I153" s="30"/>
    </row>
    <row r="154" spans="1:9" x14ac:dyDescent="0.25">
      <c r="A154" s="87"/>
      <c r="B154" s="29"/>
      <c r="C154" s="29"/>
      <c r="D154" s="29"/>
      <c r="E154" s="29"/>
      <c r="F154" s="29"/>
      <c r="G154" s="29"/>
      <c r="H154" s="29"/>
      <c r="I154" s="30"/>
    </row>
    <row r="155" spans="1:9" x14ac:dyDescent="0.25">
      <c r="A155" s="87"/>
      <c r="B155" s="29"/>
      <c r="C155" s="29"/>
      <c r="D155" s="29"/>
      <c r="E155" s="29"/>
      <c r="F155" s="29"/>
      <c r="G155" s="29"/>
      <c r="H155" s="29"/>
      <c r="I155" s="30"/>
    </row>
    <row r="156" spans="1:9" x14ac:dyDescent="0.25">
      <c r="A156" s="87"/>
      <c r="B156" s="29"/>
      <c r="C156" s="29"/>
      <c r="D156" s="29"/>
      <c r="E156" s="29"/>
      <c r="F156" s="29"/>
      <c r="G156" s="29"/>
      <c r="H156" s="29"/>
      <c r="I156" s="30"/>
    </row>
    <row r="157" spans="1:9" x14ac:dyDescent="0.25">
      <c r="A157" s="87"/>
      <c r="B157" s="29"/>
      <c r="C157" s="29"/>
      <c r="D157" s="29"/>
      <c r="E157" s="29"/>
      <c r="F157" s="29"/>
      <c r="G157" s="29"/>
      <c r="H157" s="29"/>
      <c r="I157" s="30"/>
    </row>
    <row r="158" spans="1:9" x14ac:dyDescent="0.25">
      <c r="A158" s="87"/>
      <c r="B158" s="29"/>
      <c r="C158" s="29"/>
      <c r="D158" s="29"/>
      <c r="E158" s="29"/>
      <c r="F158" s="29"/>
      <c r="G158" s="29"/>
      <c r="H158" s="29"/>
      <c r="I158" s="30"/>
    </row>
    <row r="159" spans="1:9" x14ac:dyDescent="0.25">
      <c r="A159" s="87"/>
      <c r="B159" s="29"/>
      <c r="C159" s="29"/>
      <c r="D159" s="29"/>
      <c r="E159" s="29"/>
      <c r="F159" s="29"/>
      <c r="G159" s="29"/>
      <c r="H159" s="29"/>
      <c r="I159" s="30"/>
    </row>
    <row r="160" spans="1:9" x14ac:dyDescent="0.25">
      <c r="A160" s="87"/>
      <c r="B160" s="29"/>
      <c r="C160" s="29"/>
      <c r="D160" s="29"/>
      <c r="E160" s="29"/>
      <c r="F160" s="29"/>
      <c r="G160" s="29"/>
      <c r="H160" s="29"/>
      <c r="I160" s="30"/>
    </row>
    <row r="161" spans="1:9" x14ac:dyDescent="0.25">
      <c r="A161" s="87"/>
      <c r="B161" s="29"/>
      <c r="C161" s="29"/>
      <c r="D161" s="29"/>
      <c r="E161" s="29"/>
      <c r="F161" s="29"/>
      <c r="G161" s="29"/>
      <c r="H161" s="29"/>
      <c r="I161" s="30"/>
    </row>
    <row r="162" spans="1:9" x14ac:dyDescent="0.25">
      <c r="A162" s="87"/>
      <c r="B162" s="29"/>
      <c r="C162" s="29"/>
      <c r="D162" s="29"/>
      <c r="E162" s="29"/>
      <c r="F162" s="29"/>
      <c r="G162" s="29"/>
      <c r="H162" s="29"/>
      <c r="I162" s="30"/>
    </row>
    <row r="163" spans="1:9" x14ac:dyDescent="0.25">
      <c r="A163" s="87"/>
      <c r="B163" s="29"/>
      <c r="C163" s="29"/>
      <c r="D163" s="29"/>
      <c r="E163" s="29"/>
      <c r="F163" s="29"/>
      <c r="G163" s="29"/>
      <c r="H163" s="29"/>
      <c r="I163" s="30"/>
    </row>
    <row r="164" spans="1:9" x14ac:dyDescent="0.25">
      <c r="A164" s="87"/>
      <c r="B164" s="29"/>
      <c r="C164" s="29"/>
      <c r="D164" s="29"/>
      <c r="E164" s="29"/>
      <c r="F164" s="29"/>
      <c r="G164" s="29"/>
      <c r="H164" s="29"/>
      <c r="I164" s="30"/>
    </row>
    <row r="165" spans="1:9" x14ac:dyDescent="0.25">
      <c r="A165" s="87"/>
      <c r="B165" s="29"/>
      <c r="C165" s="29"/>
      <c r="D165" s="29"/>
      <c r="E165" s="29"/>
      <c r="F165" s="29"/>
      <c r="G165" s="29"/>
      <c r="H165" s="29"/>
      <c r="I165" s="30"/>
    </row>
    <row r="166" spans="1:9" x14ac:dyDescent="0.25">
      <c r="A166" s="87"/>
      <c r="B166" s="29"/>
      <c r="C166" s="29"/>
      <c r="D166" s="29"/>
      <c r="E166" s="29"/>
      <c r="F166" s="29"/>
      <c r="G166" s="29"/>
      <c r="H166" s="29"/>
      <c r="I166" s="30"/>
    </row>
    <row r="167" spans="1:9" x14ac:dyDescent="0.25">
      <c r="A167" s="87"/>
      <c r="B167" s="29"/>
      <c r="C167" s="29"/>
      <c r="D167" s="29"/>
      <c r="E167" s="29"/>
      <c r="F167" s="29"/>
      <c r="G167" s="29"/>
      <c r="H167" s="29"/>
      <c r="I167" s="30"/>
    </row>
    <row r="168" spans="1:9" x14ac:dyDescent="0.25">
      <c r="A168" s="87"/>
      <c r="B168" s="29"/>
      <c r="C168" s="29"/>
      <c r="D168" s="29"/>
      <c r="E168" s="29"/>
      <c r="F168" s="29"/>
      <c r="G168" s="29"/>
      <c r="H168" s="29"/>
      <c r="I168" s="30"/>
    </row>
    <row r="169" spans="1:9" x14ac:dyDescent="0.25">
      <c r="A169" s="87"/>
      <c r="B169" s="29"/>
      <c r="C169" s="29"/>
      <c r="D169" s="29"/>
      <c r="E169" s="29"/>
      <c r="F169" s="29"/>
      <c r="G169" s="29"/>
      <c r="H169" s="29"/>
      <c r="I169" s="30"/>
    </row>
    <row r="170" spans="1:9" x14ac:dyDescent="0.25">
      <c r="A170" s="87"/>
      <c r="B170" s="29"/>
      <c r="C170" s="29"/>
      <c r="D170" s="29"/>
      <c r="E170" s="29"/>
      <c r="F170" s="29"/>
      <c r="G170" s="29"/>
      <c r="H170" s="29"/>
      <c r="I170" s="30"/>
    </row>
    <row r="171" spans="1:9" x14ac:dyDescent="0.25">
      <c r="A171" s="87"/>
      <c r="B171" s="29"/>
      <c r="C171" s="29"/>
      <c r="D171" s="29"/>
      <c r="E171" s="29"/>
      <c r="F171" s="29"/>
      <c r="G171" s="29"/>
      <c r="H171" s="29"/>
      <c r="I171" s="30"/>
    </row>
    <row r="172" spans="1:9" x14ac:dyDescent="0.25">
      <c r="A172" s="88"/>
      <c r="B172" s="85"/>
      <c r="C172" s="85"/>
      <c r="D172" s="85"/>
      <c r="E172" s="85"/>
      <c r="F172" s="85"/>
      <c r="G172" s="85"/>
      <c r="H172" s="85"/>
      <c r="I172" s="86"/>
    </row>
  </sheetData>
  <dataValidations disablePrompts="1" count="9">
    <dataValidation type="list" allowBlank="1" showInputMessage="1" showErrorMessage="1" error="Outside of permitted range!" sqref="C10">
      <formula1>$J$1:$J$4</formula1>
    </dataValidation>
    <dataValidation type="decimal" allowBlank="1" showInputMessage="1" showErrorMessage="1" error="Outside range!" sqref="C11">
      <formula1>40</formula1>
      <formula2>80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sqref="C18">
      <formula1>MAX(3,2+C17/12,3*C17/12)</formula1>
      <formula2>12</formula2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8">
      <formula1>$M$1:$M$3</formula1>
    </dataValidation>
  </dataValidations>
  <pageMargins left="1" right="0.5" top="0.75" bottom="0.75" header="0.3" footer="0.3"/>
  <pageSetup scale="98" orientation="portrait" horizontalDpi="300" verticalDpi="300" r:id="rId1"/>
  <headerFooter>
    <oddHeader>&amp;R"CRSI-PILECAP" Program
Version 1.0</oddHeader>
    <oddFooter>&amp;C&amp;P of &amp;N&amp;R&amp;D  &amp;T</oddFooter>
  </headerFooter>
  <rowBreaks count="3" manualBreakCount="3">
    <brk id="44" max="16383" man="1"/>
    <brk id="85" max="16383" man="1"/>
    <brk id="126" max="16383" man="1"/>
  </row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270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37"/>
      <c r="C6" s="37"/>
      <c r="D6" s="37"/>
      <c r="E6" s="37"/>
      <c r="F6" s="37"/>
      <c r="G6" s="37"/>
      <c r="H6" s="37"/>
      <c r="I6" s="38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16.590060000000001</v>
      </c>
    </row>
    <row r="20" spans="1:17" ht="18" x14ac:dyDescent="0.35">
      <c r="A20" s="34"/>
      <c r="B20" s="36" t="s">
        <v>396</v>
      </c>
      <c r="C20" s="122">
        <v>55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17" ht="18" x14ac:dyDescent="0.35">
      <c r="A21" s="34"/>
      <c r="B21" s="36" t="s">
        <v>397</v>
      </c>
      <c r="C21" s="84">
        <v>69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1.1279999999999999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2*C19/12+4*C18</f>
        <v>26.5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0.99929858399999982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17" x14ac:dyDescent="0.25">
      <c r="A23" s="34"/>
      <c r="B23" s="36" t="s">
        <v>399</v>
      </c>
      <c r="C23" s="122">
        <f>2*C19/12+3*C18</f>
        <v>20.5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9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58.026000000000003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59.295000000000002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59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17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59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29.5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79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14642.531500000001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applicable",IF(G140&lt;1,"OK","NG"))</f>
        <v>OK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5.5336775945869281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3704.3000200609436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2778.2250150457076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81.027048489583336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2.9165041726560897E-2</v>
      </c>
    </row>
    <row r="41" spans="1:25" ht="18" x14ac:dyDescent="0.35">
      <c r="A41" s="34"/>
      <c r="B41" s="59" t="s">
        <v>22</v>
      </c>
      <c r="C41" s="60">
        <f>C7*20*C14-C7*C22*C23*C21/12*0.15</f>
        <v>1810.3150000000001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21.273898326352885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22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C7*C14*(5*(0.5*C18*12+C12-C43/4))+C7*C14*(5*(1.5*C18*12+C12-C43/4))-C7*(C23/2-C43/12/4)*C22*C21/12*0.15*(C23/2-C43/12/4)*12/2</f>
        <v>67922.7265625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2563.1217570754716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58.026000000000003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0.84458589924580707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22.381526330013887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29.842035106685184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58.351194875839859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61.507560000000005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61.507560000000005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39.495600000000003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39.495600000000003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1.2926829268292683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8.8820571428571427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0.87234042553191482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3.5640000000000001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25.2387424572497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3.5640000000000001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39.495600000000003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3.5640000000000001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32.103442806029385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109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39.52332229062781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36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32.103442806029385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109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C7*C14*(4*(C18*12+C12-C43/4))+C7*C14*(4*(2*C18*12+C12-C43/4))-C7*(C22/2-C43/12/4)*C23*C21/12*0.15*(C22/2-C43/12/4)*12/2</f>
        <v>80257.997812500005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3915.0242835365857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59.295000000000002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10.373478260869565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1.2605716640543392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25.841719113113953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34.455625484151938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46.126784449482273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48.621900000000004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48.621900000000004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30.5532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34.455625484151938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145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145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22.067078511798673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24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40.5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59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+C18*12/2+C12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29.5</v>
      </c>
      <c r="C88" s="39" t="s">
        <v>0</v>
      </c>
      <c r="D88" s="37"/>
      <c r="E88" s="37"/>
      <c r="F88" s="37"/>
      <c r="G88" s="70"/>
      <c r="H88" s="37"/>
      <c r="I88" s="38"/>
      <c r="J88" s="16" t="s">
        <v>271</v>
      </c>
      <c r="K88" s="51"/>
      <c r="L88" s="51"/>
      <c r="M88" s="51"/>
      <c r="N88" s="51"/>
      <c r="O88" s="51">
        <f>1.5*C18*12+C12</f>
        <v>111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+IF(M86&gt;O90,0,IF(M86&gt;O88,8,IF(M86&gt;O89,14,IF(M86&gt;O87,18,20))))</f>
        <v>18</v>
      </c>
      <c r="F89" s="37"/>
      <c r="G89" s="37"/>
      <c r="H89" s="37"/>
      <c r="I89" s="38"/>
      <c r="J89" s="16" t="s">
        <v>56</v>
      </c>
      <c r="K89" s="51"/>
      <c r="L89" s="51"/>
      <c r="M89" s="51"/>
      <c r="N89" s="51"/>
      <c r="O89" s="51">
        <f>+C18*12+C12</f>
        <v>75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246</v>
      </c>
      <c r="K90" s="51"/>
      <c r="L90" s="51"/>
      <c r="M90" s="51"/>
      <c r="N90" s="51"/>
      <c r="O90" s="51">
        <f>2*C18*12+C12</f>
        <v>147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324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252.98221281347034</v>
      </c>
      <c r="P91" s="16" t="s">
        <v>5</v>
      </c>
    </row>
    <row r="92" spans="1:17" ht="18.75" x14ac:dyDescent="0.35">
      <c r="A92" s="59" t="s">
        <v>7</v>
      </c>
      <c r="B92" s="68">
        <f>+B90*B91*B87/1000</f>
        <v>4836.0079801422989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3627.0059851067244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1617.1912500000001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0.44587498797645747</v>
      </c>
      <c r="C95" s="37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70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59</v>
      </c>
      <c r="C99" s="39" t="s">
        <v>0</v>
      </c>
      <c r="D99" s="37"/>
      <c r="E99" s="37"/>
      <c r="F99" s="37"/>
      <c r="G99" s="37"/>
      <c r="H99" s="37"/>
      <c r="I99" s="38"/>
      <c r="J99" s="16" t="s">
        <v>247</v>
      </c>
      <c r="K99" s="51"/>
      <c r="L99" s="51"/>
      <c r="M99" s="51"/>
      <c r="N99" s="51"/>
      <c r="O99" s="51">
        <f>+C18*12+C12</f>
        <v>75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+IF(M98&gt;O100,0,IF(M98&gt;O99,4,8))</f>
        <v>8</v>
      </c>
      <c r="F100" s="37"/>
      <c r="G100" s="37"/>
      <c r="H100" s="37"/>
      <c r="I100" s="38"/>
      <c r="J100" s="16" t="s">
        <v>59</v>
      </c>
      <c r="K100" s="51"/>
      <c r="L100" s="51"/>
      <c r="M100" s="51"/>
      <c r="N100" s="51"/>
      <c r="O100" s="51">
        <f>2*C18*12+C12</f>
        <v>147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L101" s="16" t="s">
        <v>83</v>
      </c>
      <c r="O101" s="16">
        <f>+B101</f>
        <v>126.49110640673517</v>
      </c>
      <c r="P101" s="16" t="s">
        <v>5</v>
      </c>
    </row>
    <row r="102" spans="1:17" x14ac:dyDescent="0.25">
      <c r="A102" s="59" t="s">
        <v>61</v>
      </c>
      <c r="B102" s="68">
        <f>+C23*12*B99</f>
        <v>14514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1835.8919183873543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1376.9189387905158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814.1825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0.59130750334161075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70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59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+C18*12/2+C12</f>
        <v>39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+IF(M109&gt;O111,0,IF(M109&gt;O110,5,10))</f>
        <v>5</v>
      </c>
      <c r="F111" s="37"/>
      <c r="G111" s="37"/>
      <c r="H111" s="37"/>
      <c r="I111" s="38"/>
      <c r="J111" s="16" t="s">
        <v>271</v>
      </c>
      <c r="K111" s="51"/>
      <c r="L111" s="51"/>
      <c r="M111" s="51"/>
      <c r="N111" s="51"/>
      <c r="O111" s="51">
        <f>1.5*C18*12+C12</f>
        <v>111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126.49110640673517</v>
      </c>
      <c r="P112" s="16" t="s">
        <v>5</v>
      </c>
    </row>
    <row r="113" spans="1:23" x14ac:dyDescent="0.25">
      <c r="A113" s="59" t="s">
        <v>61</v>
      </c>
      <c r="B113" s="68">
        <f>+C22*12*B110</f>
        <v>18762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2373.2261384031654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23" ht="18" x14ac:dyDescent="0.35">
      <c r="A115" s="59" t="s">
        <v>12</v>
      </c>
      <c r="B115" s="68">
        <f>+B114*0.75</f>
        <v>1779.919603802374</v>
      </c>
      <c r="C115" s="39" t="s">
        <v>18</v>
      </c>
      <c r="D115" s="37"/>
      <c r="E115" s="37"/>
      <c r="F115" s="37"/>
      <c r="G115" s="37"/>
      <c r="H115" s="37"/>
      <c r="I115" s="38"/>
    </row>
    <row r="116" spans="1:23" ht="18" x14ac:dyDescent="0.35">
      <c r="A116" s="59" t="s">
        <v>57</v>
      </c>
      <c r="B116" s="68">
        <f>+E111*C14*C7-C7*0.15*C22*C23*C21/12*((C23/2-M109/12)/C23)</f>
        <v>478.48250000000002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0.26882253500542169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46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1814.9533333333334</v>
      </c>
      <c r="W127" s="37" t="s">
        <v>8</v>
      </c>
    </row>
    <row r="128" spans="1:23" ht="18.75" x14ac:dyDescent="0.35">
      <c r="A128" s="59" t="s">
        <v>1</v>
      </c>
      <c r="B128" s="43">
        <f>+B87</f>
        <v>59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29.5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20</v>
      </c>
      <c r="G130" s="37"/>
      <c r="H130" s="37"/>
      <c r="I130" s="38"/>
      <c r="Q130" s="37" t="s">
        <v>16</v>
      </c>
      <c r="R130" s="16">
        <f>+C18*12-C43/2+C12</f>
        <v>64</v>
      </c>
      <c r="S130" s="16" t="s">
        <v>0</v>
      </c>
      <c r="U130" s="37" t="s">
        <v>11</v>
      </c>
      <c r="V130" s="37">
        <f>+B135</f>
        <v>324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28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  <c r="Q131" s="37" t="s">
        <v>13</v>
      </c>
      <c r="R131" s="37">
        <f>+C14*E130*C7-C7*0.15*C22*C23*C21/12+C7*0.15*(C43)/12*(C43)/12*C21/12</f>
        <v>1814.9533333333334</v>
      </c>
      <c r="S131" s="37" t="s">
        <v>8</v>
      </c>
      <c r="T131" s="37"/>
      <c r="U131" s="37" t="s">
        <v>2</v>
      </c>
      <c r="V131" s="37">
        <f>+B136</f>
        <v>88</v>
      </c>
      <c r="W131" s="37" t="s">
        <v>0</v>
      </c>
    </row>
    <row r="132" spans="1:23" ht="18.75" x14ac:dyDescent="0.35">
      <c r="A132" s="59" t="s">
        <v>57</v>
      </c>
      <c r="B132" s="68">
        <f>+C14*E130*C7-C7*0.15*C22*C23*C21/12+C7*0.15*(C43)/12*(C43)/12*C21/12</f>
        <v>1814.9533333333334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9.4446640316205528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3101.3529437869083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324</v>
      </c>
      <c r="S134" s="37" t="s">
        <v>0</v>
      </c>
      <c r="T134" s="37"/>
      <c r="U134" s="34" t="s">
        <v>12</v>
      </c>
      <c r="V134" s="37">
        <f>+V133*0.75</f>
        <v>2326.0147078401815</v>
      </c>
      <c r="W134" s="37" t="s">
        <v>8</v>
      </c>
    </row>
    <row r="135" spans="1:23" ht="18" x14ac:dyDescent="0.35">
      <c r="A135" s="59" t="s">
        <v>11</v>
      </c>
      <c r="B135" s="61">
        <f>4*(B128+C43)</f>
        <v>324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981.33278817822622</v>
      </c>
      <c r="P135" s="16" t="s">
        <v>5</v>
      </c>
      <c r="Q135" s="37" t="s">
        <v>2</v>
      </c>
      <c r="R135" s="37">
        <f>+B136</f>
        <v>88</v>
      </c>
      <c r="S135" s="37" t="s">
        <v>0</v>
      </c>
      <c r="T135" s="37"/>
      <c r="U135" s="34" t="s">
        <v>14</v>
      </c>
      <c r="V135" s="37">
        <f>+V127/V134</f>
        <v>0.78028454730563868</v>
      </c>
      <c r="W135" s="37"/>
    </row>
    <row r="136" spans="1:23" ht="18" x14ac:dyDescent="0.35">
      <c r="A136" s="59" t="s">
        <v>2</v>
      </c>
      <c r="B136" s="61">
        <f>4*C43</f>
        <v>88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6.7883522727272725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15.516233766233766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11.152293019480519</v>
      </c>
      <c r="Q137" s="37" t="s">
        <v>7</v>
      </c>
      <c r="R137" s="37">
        <f>+R136*(C10*1000)^0.5*R135*B128/1000</f>
        <v>2229.0974283468413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5095.07983622135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3662.0886322840956</v>
      </c>
      <c r="Q138" s="37" t="s">
        <v>12</v>
      </c>
      <c r="R138" s="37">
        <f>+R137*0.75</f>
        <v>1671.823071260131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3821.3098771660125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0.49560606407314661</v>
      </c>
      <c r="Q139" s="37" t="s">
        <v>14</v>
      </c>
      <c r="R139" s="37">
        <f>+R131/R138</f>
        <v>1.0856132832078447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0.47495581140343224</v>
      </c>
      <c r="C140" s="37"/>
      <c r="D140" s="130" t="s">
        <v>233</v>
      </c>
      <c r="F140" s="16" t="s">
        <v>14</v>
      </c>
      <c r="G140" s="80">
        <f>+(B140+R139)/2</f>
        <v>0.78028454730563845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59.295000000000002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+C18*12-C43/2+C12</f>
        <v>64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1.0793490176237457</v>
      </c>
      <c r="C146" s="39"/>
      <c r="D146" s="70" t="str">
        <f>+IF(B146&lt;1,"OK, this limit state should be checked","Limit state not applicable")</f>
        <v>Limit state not applicable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8*C7*C14-C7*0.15*C22*C23*C21/12*((C22/2-C43/2/12)/C22)</f>
        <v>675.09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C7*C14*(4*B145)+C7*C14*(4*(B145+C18*12))-C7*0.15*C22*C23*C21/12*((C22/2-C43/2/12)/C22)*(C22/2-C43/2/12)*12/2</f>
        <v>76580.66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-146.74269786783955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0.5227098010124227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1.9131074222505999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-2.3202057763015356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-1605.3544758285693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-0.42052394668259596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58.026000000000003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+C18*12/2-C43/2+C12</f>
        <v>28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0.48254230862027364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10*C7*C14-C7*0.15*C22*C23*C21/12*((C23/2-C43/2/12)/C23)</f>
        <v>938.68000000000006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C7*C14*(5*B158)+C7*C14*(5*(B158+C18*12))-C7*0.15*C22*C23*C21/12*((C23/2-C43/2/12)/C23)*(C23/2-C43/2/12)*12/2</f>
        <v>62806.080000000002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160.73809020535074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0.86723842150314112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1.153085443639305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2.5414923589725524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2224.4867387079807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0.42197599278348641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59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29.5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115.69212962962963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79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14642.531500000001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5.5336775945869281</v>
      </c>
      <c r="AF172" s="16" t="s">
        <v>5</v>
      </c>
    </row>
    <row r="173" spans="1:32" ht="18.75" x14ac:dyDescent="0.35">
      <c r="A173" s="34"/>
      <c r="B173" s="40">
        <f>+C66</f>
        <v>36</v>
      </c>
      <c r="C173" s="39" t="s">
        <v>70</v>
      </c>
      <c r="D173" s="72" t="str">
        <f>"#"&amp;+C24</f>
        <v>#9</v>
      </c>
      <c r="E173" s="37" t="s">
        <v>71</v>
      </c>
      <c r="F173" s="37" t="s">
        <v>72</v>
      </c>
      <c r="G173" s="43">
        <f>+C23-0.5</f>
        <v>20</v>
      </c>
      <c r="H173" s="39" t="s">
        <v>73</v>
      </c>
      <c r="I173" s="38"/>
      <c r="Q173" s="16" t="s">
        <v>7</v>
      </c>
      <c r="R173" s="16">
        <f>+R172*T171/1000</f>
        <v>3704.3000200609436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1.3825050000000001</v>
      </c>
      <c r="H174" s="39" t="s">
        <v>73</v>
      </c>
      <c r="I174" s="38"/>
      <c r="Q174" s="16" t="s">
        <v>12</v>
      </c>
      <c r="R174" s="16">
        <f>+R173*0.75</f>
        <v>2778.2250150457076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2448.2815307999995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81.027048489583336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2.9165041726560897E-2</v>
      </c>
    </row>
    <row r="177" spans="1:32" x14ac:dyDescent="0.25">
      <c r="A177" s="34"/>
      <c r="B177" s="40">
        <f>+C84</f>
        <v>24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26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3315.381239625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59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29.5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5763.6627704249995</v>
      </c>
      <c r="D181" s="39" t="s">
        <v>78</v>
      </c>
      <c r="E181" s="37" t="s">
        <v>79</v>
      </c>
      <c r="F181" s="80">
        <f>+C181/2000</f>
        <v>2.8818313852124997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248.17850000000001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23138.531499999997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6.6779107606540773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5853.6369001241865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4390.2276750931396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154.51704848958332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3.5195680025024031E-2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59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29.5</v>
      </c>
      <c r="U192" s="16" t="s">
        <v>0</v>
      </c>
      <c r="W192" s="51"/>
    </row>
    <row r="193" spans="1:54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92.044624999999996</v>
      </c>
      <c r="U193" s="16" t="s">
        <v>0</v>
      </c>
      <c r="V193" s="51"/>
      <c r="W193" s="51"/>
    </row>
    <row r="194" spans="1:54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5430.6328749999993</v>
      </c>
      <c r="U194" s="16" t="s">
        <v>34</v>
      </c>
    </row>
    <row r="195" spans="1:54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18.919390149789098</v>
      </c>
      <c r="AF195" s="16" t="s">
        <v>5</v>
      </c>
    </row>
    <row r="196" spans="1:54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1373.8535216950781</v>
      </c>
      <c r="S196" s="16" t="s">
        <v>8</v>
      </c>
      <c r="T196" s="16" t="s">
        <v>87</v>
      </c>
    </row>
    <row r="197" spans="1:54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1030.3901412713085</v>
      </c>
      <c r="S197" s="16" t="s">
        <v>8</v>
      </c>
    </row>
    <row r="198" spans="1:54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102.74426212239584</v>
      </c>
      <c r="S198" s="16" t="s">
        <v>8</v>
      </c>
      <c r="T198" s="16" t="s">
        <v>344</v>
      </c>
    </row>
    <row r="199" spans="1:54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9.9713941357812932E-2</v>
      </c>
      <c r="T199" s="16" t="s">
        <v>145</v>
      </c>
      <c r="V199" s="16">
        <f>+(C19*C19+C19*T170+3.1415*T170^2/4/4)/144</f>
        <v>18.301259331597223</v>
      </c>
      <c r="W199" s="16" t="s">
        <v>146</v>
      </c>
    </row>
    <row r="200" spans="1:54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4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4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59</v>
      </c>
      <c r="U202" s="16" t="s">
        <v>0</v>
      </c>
      <c r="V202" s="16" t="s">
        <v>52</v>
      </c>
      <c r="W202" s="51"/>
    </row>
    <row r="203" spans="1:54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4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4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5217.1339999999991</v>
      </c>
      <c r="U205" s="16" t="s">
        <v>34</v>
      </c>
    </row>
    <row r="206" spans="1:54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20.943867109219855</v>
      </c>
      <c r="AF206" s="16" t="s">
        <v>5</v>
      </c>
    </row>
    <row r="207" spans="1:54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659.92105193219584</v>
      </c>
      <c r="S207" s="16" t="s">
        <v>8</v>
      </c>
      <c r="T207" s="16" t="s">
        <v>93</v>
      </c>
    </row>
    <row r="208" spans="1:54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494.94078894914685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</row>
    <row r="209" spans="1:54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109.2669611869926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</row>
    <row r="210" spans="1:54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0.22076774359007081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</row>
    <row r="211" spans="1:54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</row>
    <row r="212" spans="1:54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</row>
    <row r="213" spans="1:54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</row>
    <row r="214" spans="1:54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54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54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54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54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4" max="37" man="1"/>
    <brk id="85" max="37" man="1"/>
    <brk id="126" max="37" man="1"/>
    <brk id="167" max="37" man="1"/>
    <brk id="208" max="37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277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21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21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21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20.737575</v>
      </c>
    </row>
    <row r="20" spans="1:21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6" t="s">
        <v>258</v>
      </c>
      <c r="F20" s="43">
        <f>+C22-2*U26</f>
        <v>6.3380076460950221</v>
      </c>
      <c r="G20" s="39" t="s">
        <v>394</v>
      </c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21" ht="18" x14ac:dyDescent="0.35">
      <c r="A21" s="34"/>
      <c r="B21" s="36" t="s">
        <v>397</v>
      </c>
      <c r="C21" s="84">
        <v>60</v>
      </c>
      <c r="D21" s="39" t="s">
        <v>0</v>
      </c>
      <c r="E21" s="36" t="s">
        <v>259</v>
      </c>
      <c r="F21" s="63">
        <f>2*S27</f>
        <v>19.918008784773058</v>
      </c>
      <c r="G21" s="39" t="s">
        <v>394</v>
      </c>
      <c r="H21" s="37"/>
      <c r="I21" s="38"/>
      <c r="J21" s="16" t="s">
        <v>33</v>
      </c>
      <c r="L21" s="16">
        <f>+IF(C24&lt;9,(C24/8),IF(C24=9,1.128,IF(C24=10,1.27,IF(C24=11,1.41,IF(C24=14,1.693,0)))))</f>
        <v>1.41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21" ht="17.25" x14ac:dyDescent="0.25">
      <c r="A22" s="34"/>
      <c r="B22" s="36" t="s">
        <v>398</v>
      </c>
      <c r="C22" s="121">
        <f>2*C19/12+2*C18*0.866+2*C18</f>
        <v>24.891999999999999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1.5614040375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21" x14ac:dyDescent="0.25">
      <c r="A23" s="34"/>
      <c r="B23" s="36" t="s">
        <v>399</v>
      </c>
      <c r="C23" s="122">
        <f>2*C19/12+2*C18*0.866+2*C18</f>
        <v>24.891999999999999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21" x14ac:dyDescent="0.25">
      <c r="A24" s="34"/>
      <c r="B24" s="36" t="s">
        <v>400</v>
      </c>
      <c r="C24" s="81">
        <v>11</v>
      </c>
      <c r="D24" s="39"/>
      <c r="E24" s="37"/>
      <c r="F24" s="37"/>
      <c r="G24" s="37"/>
      <c r="H24" s="37"/>
      <c r="I24" s="38"/>
    </row>
    <row r="25" spans="1:21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21" ht="18" x14ac:dyDescent="0.35">
      <c r="A26" s="34"/>
      <c r="B26" s="36" t="s">
        <v>402</v>
      </c>
      <c r="C26" s="123">
        <f>+C21-C15-C16-P21-0.5*L21</f>
        <v>48.885000000000005</v>
      </c>
      <c r="D26" s="39" t="s">
        <v>0</v>
      </c>
      <c r="E26" s="37"/>
      <c r="F26" s="37"/>
      <c r="G26" s="37"/>
      <c r="H26" s="37"/>
      <c r="I26" s="38"/>
      <c r="O26" s="113"/>
      <c r="P26" s="113" t="s">
        <v>256</v>
      </c>
      <c r="Q26" s="113">
        <f>+C22/2</f>
        <v>12.446</v>
      </c>
      <c r="R26" s="113" t="s">
        <v>260</v>
      </c>
      <c r="S26" s="113">
        <f>+Q26</f>
        <v>12.446</v>
      </c>
      <c r="T26" s="113" t="s">
        <v>263</v>
      </c>
      <c r="U26" s="113">
        <f>+U27*1.366/0.3662</f>
        <v>9.2769961769524887</v>
      </c>
    </row>
    <row r="27" spans="1:21" ht="18" x14ac:dyDescent="0.35">
      <c r="A27" s="34"/>
      <c r="B27" s="36" t="s">
        <v>403</v>
      </c>
      <c r="C27" s="61">
        <f>+C21-C15-C16-P21/2</f>
        <v>50.295000000000002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  <c r="O27" s="113"/>
      <c r="P27" s="113" t="s">
        <v>257</v>
      </c>
      <c r="Q27" s="113">
        <f>1.5*C18-0.3662/1.366*C19/12</f>
        <v>8.6648975109809658</v>
      </c>
      <c r="R27" s="113" t="s">
        <v>261</v>
      </c>
      <c r="S27" s="113">
        <f>+Q27+1.4142/1.366*C19/12</f>
        <v>9.9590043923865288</v>
      </c>
      <c r="T27" s="113" t="s">
        <v>262</v>
      </c>
      <c r="U27" s="113">
        <f>+(C23-F21)/2</f>
        <v>2.4869956076134709</v>
      </c>
    </row>
    <row r="28" spans="1:21" ht="18" x14ac:dyDescent="0.35">
      <c r="A28" s="34"/>
      <c r="B28" s="36" t="s">
        <v>404</v>
      </c>
      <c r="C28" s="45">
        <f>+C21-C15-C16-1</f>
        <v>50</v>
      </c>
      <c r="D28" s="39" t="s">
        <v>0</v>
      </c>
      <c r="E28" s="37"/>
      <c r="F28" s="37"/>
      <c r="G28" s="37"/>
      <c r="H28" s="37"/>
      <c r="I28" s="38"/>
      <c r="O28" s="113"/>
      <c r="P28" s="113"/>
      <c r="Q28" s="113"/>
      <c r="R28" s="113"/>
      <c r="S28" s="113"/>
      <c r="T28" s="113"/>
      <c r="U28" s="113"/>
    </row>
    <row r="29" spans="1:21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M29" s="16">
        <f>+IF(C9="Round",C17,L27)</f>
        <v>20</v>
      </c>
    </row>
    <row r="30" spans="1:21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21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21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50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70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10995.25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+IF(B131&gt;B129,"NA",IF(B140&lt;1,"OK","NG"))</f>
        <v>NA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8.7247239338199076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+IF(G153&lt;1,"OK","NG")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2781.6026754373097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+IF(G166&lt;1,"OK","NG")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2086.2020065779825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95.930520833333333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4.5983332645091787E-2</v>
      </c>
    </row>
    <row r="41" spans="1:25" ht="18" x14ac:dyDescent="0.35">
      <c r="A41" s="34"/>
      <c r="B41" s="59" t="s">
        <v>22</v>
      </c>
      <c r="C41" s="60">
        <f>C7*21*C14-C7*C22*C23*C21/12*0.15+C7*2*U26*U27*C21/12*0.15</f>
        <v>1999.8384401854269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22.359776609938585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23</v>
      </c>
      <c r="D43" s="39" t="s">
        <v>0</v>
      </c>
      <c r="E43" s="115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C7*C14*(2*(0.5*C18*12+C12-C43/4))+C7*C14*(3*(1*C18*12+C12-C43/4))+C7*C14*(2*(1.5*C18*12+C12-C43/4))+C7*C14*(2*(2*C18*12+C12-C43/4))-C7*(C23/2-C43/12/4)*C22*C21/12*0.15*(C23/2-C43/12/4)*12/2+C7*U26*U27*C21/12*0.15*(C23*12/2-U27*12/3)</f>
        <v>76402.008369974108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3069.33988309393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48.885000000000005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1.1994217347083733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29.856005820360828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39.808007760481104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46.176037050530518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48.673816799999997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48.673816799999997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32.260032000000002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39.808007760481104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18.205874999999999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1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3.7050000000000001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29.856005820360828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3.7050000000000001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39.808007760481104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3.7050000000000001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40.129303507536733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134.852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25.495007572939688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17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40.129303507536733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134.852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C7*C14*(2*(0.5*C18*12+C12-C43/4))+C7*C14*(3*(1*C18*12+C12-C43/4))+C7*C14*(4*(1.866*C18*12+C12-C43/4))-C7*(C22/2-C43/12/4)*C23*C21/12*0.15*(C22/2-C43/12/4)*12/2+C7*U26*U27*C21/12*0.15*(C22*12/2-U26*12/3)</f>
        <v>79926.274612660651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3210.9221682733669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50.295000000000002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18.205874999999999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1.2194846927592309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30.355412972162775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40.473883962883697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47.507901881076648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50.077725600000001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50.077725600000001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32.260032000000002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40.473883962883697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134.852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134.852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25.921467468271292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17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36.5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50</v>
      </c>
      <c r="C87" s="39" t="s">
        <v>0</v>
      </c>
      <c r="D87" s="37"/>
      <c r="E87" s="37"/>
      <c r="F87" s="37"/>
      <c r="G87" s="70"/>
      <c r="H87" s="37"/>
      <c r="I87" s="38"/>
      <c r="J87" s="16" t="s">
        <v>238</v>
      </c>
      <c r="K87" s="51"/>
      <c r="L87" s="51"/>
      <c r="M87" s="51"/>
      <c r="N87" s="51"/>
      <c r="O87" s="51">
        <f>0.5*C18*12+C12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25</v>
      </c>
      <c r="C88" s="39" t="s">
        <v>0</v>
      </c>
      <c r="D88" s="37"/>
      <c r="E88" s="37"/>
      <c r="F88" s="37"/>
      <c r="G88" s="70"/>
      <c r="H88" s="37"/>
      <c r="I88" s="38"/>
      <c r="J88" s="16" t="s">
        <v>249</v>
      </c>
      <c r="K88" s="51"/>
      <c r="L88" s="51"/>
      <c r="M88" s="51"/>
      <c r="N88" s="51"/>
      <c r="O88" s="51">
        <f>1*C18*12+C12</f>
        <v>75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+IF(M86&gt;O90,0,IF(M86&gt;O93,4,IF(M86&gt;O92,12,20)))</f>
        <v>20</v>
      </c>
      <c r="F89" s="37"/>
      <c r="G89" s="37"/>
      <c r="H89" s="37"/>
      <c r="I89" s="38"/>
      <c r="J89" s="16" t="s">
        <v>264</v>
      </c>
      <c r="K89" s="51"/>
      <c r="L89" s="51"/>
      <c r="M89" s="51"/>
      <c r="N89" s="51"/>
      <c r="O89" s="51">
        <f>1.5*C18*12+C12</f>
        <v>111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283</v>
      </c>
      <c r="K90" s="51"/>
      <c r="L90" s="51"/>
      <c r="M90" s="51"/>
      <c r="N90" s="51"/>
      <c r="O90" s="51">
        <f>2*C18*12+C12</f>
        <v>147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292</v>
      </c>
      <c r="C91" s="39" t="s">
        <v>0</v>
      </c>
      <c r="D91" s="37"/>
      <c r="E91" s="37"/>
      <c r="F91" s="37"/>
      <c r="G91" s="37"/>
      <c r="H91" s="37"/>
      <c r="I91" s="38"/>
      <c r="J91" s="16" t="s">
        <v>239</v>
      </c>
      <c r="K91" s="51"/>
      <c r="L91" s="51"/>
      <c r="M91" s="51"/>
      <c r="N91" s="51"/>
      <c r="O91" s="51">
        <f>+C18*12*0.5+C12</f>
        <v>39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3693.540307076667</v>
      </c>
      <c r="C92" s="39" t="s">
        <v>18</v>
      </c>
      <c r="D92" s="37" t="s">
        <v>15</v>
      </c>
      <c r="E92" s="37"/>
      <c r="F92" s="37"/>
      <c r="G92" s="37"/>
      <c r="H92" s="37"/>
      <c r="I92" s="38"/>
      <c r="J92" s="16" t="s">
        <v>240</v>
      </c>
      <c r="K92" s="51"/>
      <c r="L92" s="51"/>
      <c r="M92" s="51"/>
      <c r="N92" s="51"/>
      <c r="O92" s="51">
        <f>+C18*12*1+C12</f>
        <v>75</v>
      </c>
      <c r="P92" s="16" t="s">
        <v>0</v>
      </c>
      <c r="Q92" s="16" t="s">
        <v>119</v>
      </c>
    </row>
    <row r="93" spans="1:17" ht="18" x14ac:dyDescent="0.35">
      <c r="A93" s="59" t="s">
        <v>12</v>
      </c>
      <c r="B93" s="68">
        <f>+B92*0.75</f>
        <v>2770.1552303075005</v>
      </c>
      <c r="C93" s="39" t="s">
        <v>18</v>
      </c>
      <c r="D93" s="37"/>
      <c r="E93" s="37"/>
      <c r="F93" s="37"/>
      <c r="G93" s="37"/>
      <c r="H93" s="37"/>
      <c r="I93" s="38"/>
      <c r="J93" s="16" t="s">
        <v>241</v>
      </c>
      <c r="K93" s="51"/>
      <c r="L93" s="51"/>
      <c r="M93" s="51"/>
      <c r="N93" s="51"/>
      <c r="O93" s="51">
        <f>+C18*12*(1.866)+C12</f>
        <v>137.352</v>
      </c>
      <c r="P93" s="16" t="s">
        <v>0</v>
      </c>
      <c r="Q93" s="16" t="s">
        <v>119</v>
      </c>
    </row>
    <row r="94" spans="1:17" ht="18" x14ac:dyDescent="0.35">
      <c r="A94" s="59" t="s">
        <v>57</v>
      </c>
      <c r="B94" s="68">
        <f>+E89*C7*C14-C7*0.15*C22*C23*C21/12+C7*0.15*(2*M86)/12*(2*M86)/12*C21/12+C7*2*U26*U27*C21/12*0.15</f>
        <v>1916.2467735187602</v>
      </c>
      <c r="C94" s="39" t="s">
        <v>18</v>
      </c>
      <c r="D94" s="37" t="s">
        <v>131</v>
      </c>
      <c r="E94" s="37"/>
      <c r="F94" s="37"/>
      <c r="G94" s="37"/>
      <c r="H94" s="37"/>
      <c r="I94" s="38"/>
      <c r="K94" s="51"/>
      <c r="L94" s="51"/>
      <c r="M94" s="51"/>
      <c r="N94" s="51"/>
      <c r="O94" s="51"/>
    </row>
    <row r="95" spans="1:17" ht="18" x14ac:dyDescent="0.35">
      <c r="A95" s="59" t="s">
        <v>14</v>
      </c>
      <c r="B95" s="63">
        <f>+B94/B93</f>
        <v>0.69174707343243269</v>
      </c>
      <c r="C95" s="37"/>
      <c r="D95" s="37"/>
      <c r="E95" s="37"/>
      <c r="F95" s="37"/>
      <c r="G95" s="37"/>
      <c r="H95" s="37"/>
      <c r="I95" s="38"/>
      <c r="L95" s="16" t="s">
        <v>83</v>
      </c>
      <c r="O95" s="16">
        <f>+B90</f>
        <v>252.98221281347034</v>
      </c>
      <c r="P95" s="16" t="s">
        <v>5</v>
      </c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58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61.5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50</v>
      </c>
      <c r="C99" s="39" t="s">
        <v>0</v>
      </c>
      <c r="D99" s="37"/>
      <c r="E99" s="37"/>
      <c r="F99" s="37"/>
      <c r="G99" s="37"/>
      <c r="H99" s="37"/>
      <c r="I99" s="38"/>
      <c r="J99" s="16" t="s">
        <v>239</v>
      </c>
      <c r="K99" s="51"/>
      <c r="L99" s="51"/>
      <c r="M99" s="51"/>
      <c r="N99" s="51"/>
      <c r="O99" s="51">
        <f>+C18*12*0.5+C12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+IF(M98&gt;O101,0,IF(M98&gt;O100,4,IF(M98&gt;O99,7,9)))</f>
        <v>7</v>
      </c>
      <c r="F100" s="37"/>
      <c r="G100" s="37"/>
      <c r="H100" s="37"/>
      <c r="I100" s="38"/>
      <c r="J100" s="16" t="s">
        <v>240</v>
      </c>
      <c r="K100" s="51"/>
      <c r="L100" s="51"/>
      <c r="M100" s="51"/>
      <c r="N100" s="51"/>
      <c r="O100" s="51">
        <f>+C18*12*1+C12</f>
        <v>75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J101" s="16" t="s">
        <v>241</v>
      </c>
      <c r="K101" s="51"/>
      <c r="L101" s="51"/>
      <c r="M101" s="51"/>
      <c r="N101" s="51"/>
      <c r="O101" s="51">
        <f>+C18*12*(1.866)+C12</f>
        <v>137.352</v>
      </c>
      <c r="P101" s="16" t="s">
        <v>0</v>
      </c>
      <c r="Q101" s="16" t="s">
        <v>119</v>
      </c>
    </row>
    <row r="102" spans="1:17" x14ac:dyDescent="0.25">
      <c r="A102" s="59" t="s">
        <v>61</v>
      </c>
      <c r="B102" s="68">
        <f>+M105*12*B99</f>
        <v>14305.959180087844</v>
      </c>
      <c r="C102" s="39" t="s">
        <v>407</v>
      </c>
      <c r="D102" s="37"/>
      <c r="E102" s="37"/>
      <c r="F102" s="37"/>
      <c r="G102" s="37"/>
      <c r="H102" s="37"/>
      <c r="I102" s="38"/>
      <c r="K102" s="51"/>
      <c r="L102" s="51"/>
      <c r="M102" s="51"/>
      <c r="N102" s="51"/>
      <c r="O102" s="51"/>
    </row>
    <row r="103" spans="1:17" ht="18.75" x14ac:dyDescent="0.35">
      <c r="A103" s="59" t="s">
        <v>7</v>
      </c>
      <c r="B103" s="68">
        <f>+B101*B102/1000</f>
        <v>1809.5766048989015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1357.182453674176</v>
      </c>
      <c r="C104" s="39" t="s">
        <v>18</v>
      </c>
      <c r="D104" s="37"/>
      <c r="E104" s="37"/>
      <c r="F104" s="37"/>
      <c r="G104" s="37"/>
      <c r="H104" s="37"/>
      <c r="I104" s="38"/>
      <c r="L104" s="16" t="s">
        <v>268</v>
      </c>
      <c r="M104" s="16">
        <f>+C23</f>
        <v>24.891999999999999</v>
      </c>
    </row>
    <row r="105" spans="1:17" ht="18" x14ac:dyDescent="0.35">
      <c r="A105" s="59" t="s">
        <v>57</v>
      </c>
      <c r="B105" s="68">
        <f>+E100*C14*C7-C7*0.15*C22*C23*C21/12*((C22/2-M98/12)/C22)+C7*U26*U27*C21/12*0.15</f>
        <v>705.00502009271338</v>
      </c>
      <c r="C105" s="39" t="s">
        <v>18</v>
      </c>
      <c r="D105" s="37" t="s">
        <v>131</v>
      </c>
      <c r="E105" s="37"/>
      <c r="F105" s="37"/>
      <c r="G105" s="37"/>
      <c r="H105" s="37"/>
      <c r="I105" s="38"/>
      <c r="L105" s="16" t="s">
        <v>267</v>
      </c>
      <c r="M105" s="16">
        <f>+IF(M98/12&lt;F20/2,C23,C23-2*(M98/12-F20/2)/1.366*0.3662)</f>
        <v>23.84326530014641</v>
      </c>
    </row>
    <row r="106" spans="1:17" ht="18" x14ac:dyDescent="0.35">
      <c r="A106" s="59" t="s">
        <v>14</v>
      </c>
      <c r="B106" s="63">
        <f>+B105/B104</f>
        <v>0.51946222719290081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61.5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50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250</v>
      </c>
      <c r="K110" s="51"/>
      <c r="L110" s="51"/>
      <c r="M110" s="51"/>
      <c r="N110" s="51"/>
      <c r="O110" s="51">
        <f>0.5*C18*12+C12</f>
        <v>39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+IF(M109&gt;O113,0,IF(M109&gt;O112,2,IF(M109&gt;O111,4,IF(M109&gt;O110,7,9))))</f>
        <v>7</v>
      </c>
      <c r="F111" s="37"/>
      <c r="G111" s="37"/>
      <c r="H111" s="37"/>
      <c r="I111" s="38"/>
      <c r="J111" s="16" t="s">
        <v>251</v>
      </c>
      <c r="K111" s="51"/>
      <c r="L111" s="51"/>
      <c r="M111" s="51"/>
      <c r="N111" s="51"/>
      <c r="O111" s="51">
        <f>1*C18*12+C12</f>
        <v>75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J112" s="16" t="s">
        <v>265</v>
      </c>
      <c r="K112" s="51"/>
      <c r="L112" s="51"/>
      <c r="M112" s="51"/>
      <c r="N112" s="51"/>
      <c r="O112" s="51">
        <f>1.5*C18*12+C12</f>
        <v>111</v>
      </c>
      <c r="P112" s="16" t="s">
        <v>0</v>
      </c>
      <c r="Q112" s="16" t="s">
        <v>119</v>
      </c>
    </row>
    <row r="113" spans="1:17" x14ac:dyDescent="0.25">
      <c r="A113" s="59" t="s">
        <v>61</v>
      </c>
      <c r="B113" s="68">
        <f>+M116*12*B110</f>
        <v>14935.2</v>
      </c>
      <c r="C113" s="157" t="s">
        <v>0</v>
      </c>
      <c r="D113" s="37"/>
      <c r="E113" s="37"/>
      <c r="F113" s="37"/>
      <c r="G113" s="37"/>
      <c r="H113" s="37"/>
      <c r="I113" s="38"/>
      <c r="J113" s="16" t="s">
        <v>284</v>
      </c>
      <c r="K113" s="51"/>
      <c r="L113" s="51"/>
      <c r="M113" s="51"/>
      <c r="N113" s="51"/>
      <c r="O113" s="51">
        <f>2*C18*12+C12</f>
        <v>147</v>
      </c>
      <c r="P113" s="16" t="s">
        <v>0</v>
      </c>
      <c r="Q113" s="16" t="s">
        <v>119</v>
      </c>
    </row>
    <row r="114" spans="1:17" ht="18.75" x14ac:dyDescent="0.35">
      <c r="A114" s="59" t="s">
        <v>7</v>
      </c>
      <c r="B114" s="68">
        <f>+B112*B113/1000</f>
        <v>1889.1699724058712</v>
      </c>
      <c r="C114" s="39" t="s">
        <v>18</v>
      </c>
      <c r="D114" s="37" t="s">
        <v>62</v>
      </c>
      <c r="E114" s="37"/>
      <c r="F114" s="37"/>
      <c r="G114" s="37"/>
      <c r="H114" s="37"/>
      <c r="I114" s="38"/>
      <c r="L114" s="16" t="s">
        <v>83</v>
      </c>
      <c r="O114" s="16">
        <f>+B112</f>
        <v>126.49110640673517</v>
      </c>
      <c r="P114" s="16" t="s">
        <v>5</v>
      </c>
    </row>
    <row r="115" spans="1:17" ht="18" x14ac:dyDescent="0.35">
      <c r="A115" s="59" t="s">
        <v>12</v>
      </c>
      <c r="B115" s="68">
        <f>+B114*0.75</f>
        <v>1416.8774793044036</v>
      </c>
      <c r="C115" s="39" t="s">
        <v>18</v>
      </c>
      <c r="D115" s="37"/>
      <c r="E115" s="37"/>
      <c r="F115" s="37"/>
      <c r="G115" s="37"/>
      <c r="H115" s="37"/>
      <c r="I115" s="38"/>
      <c r="L115" s="16" t="s">
        <v>268</v>
      </c>
      <c r="M115" s="16">
        <f>+C22</f>
        <v>24.891999999999999</v>
      </c>
    </row>
    <row r="116" spans="1:17" ht="18" x14ac:dyDescent="0.35">
      <c r="A116" s="59" t="s">
        <v>57</v>
      </c>
      <c r="B116" s="68">
        <f>+E111*C14*C7-C7*0.15*C22*C23*C21/12*((C23/2-M109/12)/C23)+C7*U26*U27*C21/12*0.15</f>
        <v>705.00502009271338</v>
      </c>
      <c r="C116" s="39" t="s">
        <v>18</v>
      </c>
      <c r="D116" s="37" t="s">
        <v>131</v>
      </c>
      <c r="E116" s="37"/>
      <c r="F116" s="37"/>
      <c r="G116" s="37"/>
      <c r="H116" s="37"/>
      <c r="I116" s="38"/>
      <c r="L116" s="16" t="s">
        <v>267</v>
      </c>
      <c r="M116" s="16">
        <f>+IF(M109/12&lt;F21/2,C22,C22-2*(M109/12-F21/2)/1.366*0.3662)</f>
        <v>24.891999999999999</v>
      </c>
    </row>
    <row r="117" spans="1:17" ht="18" x14ac:dyDescent="0.35">
      <c r="A117" s="59" t="s">
        <v>14</v>
      </c>
      <c r="B117" s="63">
        <f>+B116/B115</f>
        <v>0.49757655858770927</v>
      </c>
      <c r="C117" s="157"/>
      <c r="D117" s="37"/>
      <c r="E117" s="37"/>
      <c r="F117" s="37"/>
      <c r="G117" s="37"/>
      <c r="H117" s="37"/>
      <c r="I117" s="38"/>
    </row>
    <row r="118" spans="1:17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17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17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17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17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17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17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17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17" x14ac:dyDescent="0.2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</row>
    <row r="127" spans="1:17" ht="18.75" x14ac:dyDescent="0.3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</row>
    <row r="128" spans="1:17" x14ac:dyDescent="0.25">
      <c r="A128" s="59" t="s">
        <v>1</v>
      </c>
      <c r="B128" s="43">
        <f>+B87</f>
        <v>50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</row>
    <row r="129" spans="1:24" x14ac:dyDescent="0.25">
      <c r="A129" s="59" t="s">
        <v>53</v>
      </c>
      <c r="B129" s="63">
        <f>+B128/2</f>
        <v>25</v>
      </c>
      <c r="C129" s="39" t="s">
        <v>0</v>
      </c>
      <c r="F129" s="37"/>
      <c r="G129" s="37"/>
      <c r="H129" s="37"/>
      <c r="I129" s="38"/>
    </row>
    <row r="130" spans="1:24" ht="18" x14ac:dyDescent="0.35">
      <c r="A130" s="59"/>
      <c r="B130" s="37"/>
      <c r="C130" s="37"/>
      <c r="D130" s="59" t="s">
        <v>453</v>
      </c>
      <c r="E130" s="72">
        <v>20</v>
      </c>
      <c r="G130" s="37"/>
      <c r="H130" s="37"/>
      <c r="I130" s="38"/>
      <c r="K130" s="16">
        <v>1</v>
      </c>
      <c r="L130" s="37" t="s">
        <v>14</v>
      </c>
      <c r="M130" s="37">
        <f>+IF(B131&gt;0,B140,V139)</f>
        <v>0.74503819435473917</v>
      </c>
      <c r="Q130" s="37" t="s">
        <v>16</v>
      </c>
      <c r="R130" s="16">
        <f>+C18*12/2-C43/2+C12</f>
        <v>27.5</v>
      </c>
      <c r="S130" s="16" t="s">
        <v>0</v>
      </c>
      <c r="U130" s="34" t="s">
        <v>16</v>
      </c>
      <c r="V130" s="37">
        <f>+C18*12/2-C43/2+C12+C18*12/2</f>
        <v>63.5</v>
      </c>
      <c r="W130" s="37" t="s">
        <v>16</v>
      </c>
      <c r="X130" s="16">
        <f>+C18*12/2-C43/2+C12+C18*12/2</f>
        <v>63.5</v>
      </c>
    </row>
    <row r="131" spans="1:24" ht="18" x14ac:dyDescent="0.35">
      <c r="A131" s="59" t="s">
        <v>452</v>
      </c>
      <c r="B131" s="43">
        <f>+C18*12/2-C43/2+C12</f>
        <v>27.5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K131" s="16">
        <v>2</v>
      </c>
      <c r="L131" s="37" t="s">
        <v>14</v>
      </c>
      <c r="M131" s="37">
        <f>+IF(R130&gt;0,R139,X139)</f>
        <v>0.74503819435473917</v>
      </c>
      <c r="Q131" s="37" t="s">
        <v>13</v>
      </c>
      <c r="R131" s="37">
        <f>+C14*E130*C7-C7*0.15*C22*C23*C21/12+C7*0.15*(C43)/12*(C43)/12*C21/12+C7*2*U26*U27*C21/12*0.15</f>
        <v>1876.2467735187602</v>
      </c>
      <c r="S131" s="37" t="s">
        <v>8</v>
      </c>
      <c r="T131" s="37"/>
      <c r="U131" s="34" t="s">
        <v>13</v>
      </c>
      <c r="V131" s="37">
        <f>+C14*(E130-4)*C7-C7*0.15*C22*C23*C21/12+C7*0.15*(C43)/12*(C43)/12*C21/12</f>
        <v>1308.8743365333335</v>
      </c>
      <c r="W131" s="37" t="s">
        <v>13</v>
      </c>
      <c r="X131" s="37">
        <f>+C14*(E130-4)*C7-C7*0.15*C22*C23*C21/12+C7*0.15*(C43)/12*(C43)/12*C21/12</f>
        <v>1308.8743365333335</v>
      </c>
    </row>
    <row r="132" spans="1:24" ht="18.75" x14ac:dyDescent="0.35">
      <c r="A132" s="59" t="s">
        <v>57</v>
      </c>
      <c r="B132" s="68">
        <f>+C14*E130*C7-C7*0.15*C22*C23*C21/12+C7*0.15*(C43)/12*(C43)/12*C21/12+C7*2*U26*U27*C21/12*0.15</f>
        <v>1876.2467735187602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4" t="s">
        <v>3</v>
      </c>
      <c r="V132" s="37">
        <f>4*(C10*1000)^0.5</f>
        <v>252.98221281347034</v>
      </c>
      <c r="W132" s="37" t="s">
        <v>3</v>
      </c>
      <c r="X132" s="37">
        <f>+B133</f>
        <v>252.98221281347034</v>
      </c>
    </row>
    <row r="133" spans="1:24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4</v>
      </c>
      <c r="V133" s="37">
        <f>+V132*8</f>
        <v>2023.8577025077627</v>
      </c>
      <c r="W133" s="37" t="s">
        <v>4</v>
      </c>
      <c r="X133" s="37">
        <f>+X132*8</f>
        <v>2023.8577025077627</v>
      </c>
    </row>
    <row r="134" spans="1:24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292</v>
      </c>
      <c r="S134" s="37" t="s">
        <v>0</v>
      </c>
      <c r="T134" s="37"/>
      <c r="U134" s="34" t="s">
        <v>11</v>
      </c>
      <c r="V134" s="37">
        <f>4*(B128+C43)</f>
        <v>292</v>
      </c>
      <c r="W134" s="37" t="s">
        <v>11</v>
      </c>
      <c r="X134" s="37">
        <f>+B135</f>
        <v>292</v>
      </c>
    </row>
    <row r="135" spans="1:24" ht="18" x14ac:dyDescent="0.35">
      <c r="A135" s="59" t="s">
        <v>11</v>
      </c>
      <c r="B135" s="61">
        <f>4*(B128+C43)</f>
        <v>292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729.94867728787881</v>
      </c>
      <c r="P135" s="16" t="s">
        <v>5</v>
      </c>
      <c r="Q135" s="37" t="s">
        <v>2</v>
      </c>
      <c r="R135" s="37">
        <f>+B136</f>
        <v>92</v>
      </c>
      <c r="S135" s="37" t="s">
        <v>0</v>
      </c>
      <c r="T135" s="37"/>
      <c r="U135" s="34" t="s">
        <v>2</v>
      </c>
      <c r="V135" s="37">
        <f>4*C43</f>
        <v>92</v>
      </c>
      <c r="W135" s="37" t="s">
        <v>2</v>
      </c>
      <c r="X135" s="37">
        <f>+B136</f>
        <v>92</v>
      </c>
    </row>
    <row r="136" spans="1:24" ht="18" x14ac:dyDescent="0.35">
      <c r="A136" s="59" t="s">
        <v>2</v>
      </c>
      <c r="B136" s="61">
        <f>4*C43</f>
        <v>92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11.541501976284584</v>
      </c>
      <c r="S136" s="37"/>
      <c r="T136" s="37"/>
      <c r="U136" s="34" t="s">
        <v>6</v>
      </c>
      <c r="V136" s="37">
        <f>IF(2*B128/V130*(1+B128/C43)&lt;32,2*B128/V130*(1+B128/C43),32)</f>
        <v>4.9982882574460801</v>
      </c>
      <c r="W136" s="37" t="s">
        <v>6</v>
      </c>
      <c r="X136" s="37">
        <f>IF(2*B128/X130*(1+B128/C43)&lt;32,2*B128/X130*(1+B128/C43),32)</f>
        <v>4.9982882574460801</v>
      </c>
    </row>
    <row r="137" spans="1:24" ht="18" x14ac:dyDescent="0.35">
      <c r="A137" s="59" t="s">
        <v>6</v>
      </c>
      <c r="B137" s="61">
        <f>IF(2*B128/B131*(1+B128/C43)&lt;32,2*B128/B131*(1+B128/C43),32)</f>
        <v>11.541501976284584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11.541501976284584</v>
      </c>
      <c r="Q137" s="37" t="s">
        <v>7</v>
      </c>
      <c r="R137" s="37">
        <f>+R136*(C10*1000)^0.5*R135*B128/1000</f>
        <v>3357.7639155242423</v>
      </c>
      <c r="S137" s="37" t="s">
        <v>8</v>
      </c>
      <c r="T137" s="37"/>
      <c r="U137" s="34" t="s">
        <v>7</v>
      </c>
      <c r="V137" s="37">
        <f>+V136*(C10*1000)^0.5*V135*B128/1000</f>
        <v>1454.1497271955384</v>
      </c>
      <c r="W137" s="37" t="s">
        <v>7</v>
      </c>
      <c r="X137" s="37">
        <f>+X136*(C10*1000)^0.5*X135*B128/1000</f>
        <v>1454.1497271955384</v>
      </c>
    </row>
    <row r="138" spans="1:24" ht="18.75" x14ac:dyDescent="0.35">
      <c r="A138" s="59" t="s">
        <v>7</v>
      </c>
      <c r="B138" s="68">
        <f>+B137*(C10*1000)^0.5*B136*B128/1000</f>
        <v>3357.7639155242423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3357.7639155242423</v>
      </c>
      <c r="Q138" s="37" t="s">
        <v>12</v>
      </c>
      <c r="R138" s="37">
        <f>+R137*0.75</f>
        <v>2518.3229366431815</v>
      </c>
      <c r="S138" s="37" t="s">
        <v>8</v>
      </c>
      <c r="T138" s="37"/>
      <c r="U138" s="34" t="s">
        <v>12</v>
      </c>
      <c r="V138" s="37">
        <f>+V137*0.75</f>
        <v>1090.6122953966537</v>
      </c>
      <c r="W138" s="37" t="s">
        <v>12</v>
      </c>
      <c r="X138" s="37">
        <f>+X137*0.75</f>
        <v>1090.6122953966537</v>
      </c>
    </row>
    <row r="139" spans="1:24" ht="18" x14ac:dyDescent="0.35">
      <c r="A139" s="59" t="s">
        <v>12</v>
      </c>
      <c r="B139" s="68">
        <f>+B138*0.75</f>
        <v>2518.3229366431815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0.55877864576605429</v>
      </c>
      <c r="Q139" s="37" t="s">
        <v>14</v>
      </c>
      <c r="R139" s="37">
        <f>+R131/R138</f>
        <v>0.74503819435473917</v>
      </c>
      <c r="S139" s="37"/>
      <c r="T139" s="37"/>
      <c r="U139" s="34" t="s">
        <v>14</v>
      </c>
      <c r="V139" s="37">
        <f>+V131/V138</f>
        <v>1.2001279850391731</v>
      </c>
      <c r="W139" s="37" t="s">
        <v>14</v>
      </c>
      <c r="X139" s="37">
        <f>+X131/X138</f>
        <v>1.2001279850391731</v>
      </c>
    </row>
    <row r="140" spans="1:24" ht="18" x14ac:dyDescent="0.35">
      <c r="A140" s="59" t="s">
        <v>14</v>
      </c>
      <c r="B140" s="63">
        <f>+B132/B139</f>
        <v>0.74503819435473917</v>
      </c>
      <c r="C140" s="37"/>
      <c r="D140" s="130"/>
      <c r="H140" s="37"/>
      <c r="I140" s="38"/>
    </row>
    <row r="141" spans="1:24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4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4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  <c r="L143" s="16" t="s">
        <v>83</v>
      </c>
      <c r="O143" s="16">
        <f>+B151/2*B101</f>
        <v>-220.63286080561872</v>
      </c>
      <c r="P143" s="16" t="s">
        <v>5</v>
      </c>
    </row>
    <row r="144" spans="1:24" x14ac:dyDescent="0.25">
      <c r="A144" s="59" t="s">
        <v>1</v>
      </c>
      <c r="B144" s="40">
        <f>+C21-C15-C16-P21/2</f>
        <v>50.295000000000002</v>
      </c>
      <c r="C144" s="39" t="s">
        <v>0</v>
      </c>
      <c r="D144" s="37"/>
      <c r="E144" s="37"/>
      <c r="F144" s="37"/>
      <c r="G144" s="37"/>
      <c r="H144" s="37"/>
      <c r="I144" s="38"/>
      <c r="L144" s="34" t="s">
        <v>63</v>
      </c>
      <c r="M144" s="70">
        <f>+C18*12/2-C43/2+C12+C18*12/2</f>
        <v>63.5</v>
      </c>
      <c r="N144" s="37" t="s">
        <v>0</v>
      </c>
    </row>
    <row r="145" spans="1:16" x14ac:dyDescent="0.25">
      <c r="A145" s="59" t="s">
        <v>63</v>
      </c>
      <c r="B145" s="61">
        <f>+C18*12/2-C43/2+C12</f>
        <v>27.5</v>
      </c>
      <c r="C145" s="39" t="s">
        <v>0</v>
      </c>
      <c r="D145" s="70"/>
      <c r="E145" s="37"/>
      <c r="F145" s="37"/>
      <c r="G145" s="37"/>
      <c r="H145" s="37"/>
      <c r="I145" s="38"/>
      <c r="L145" s="34" t="s">
        <v>64</v>
      </c>
      <c r="M145" s="70">
        <f>MAX(M144/B144,0)</f>
        <v>1.2625509493985485</v>
      </c>
      <c r="N145" s="37"/>
    </row>
    <row r="146" spans="1:16" ht="18" x14ac:dyDescent="0.35">
      <c r="A146" s="59" t="s">
        <v>64</v>
      </c>
      <c r="B146" s="61">
        <f>MAX(B145/B144,0)</f>
        <v>0.54677403320409579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  <c r="L146" s="34" t="s">
        <v>57</v>
      </c>
      <c r="M146" s="37">
        <f>7*C7*C14-C7*0.15*C22*C23*C21/12*((C22/2-C43/2/12)/C22)+C7*U26*U27*C21/12*0.15</f>
        <v>580.54502009271346</v>
      </c>
      <c r="N146" s="37" t="s">
        <v>8</v>
      </c>
    </row>
    <row r="147" spans="1:16" ht="18" x14ac:dyDescent="0.35">
      <c r="A147" s="59" t="s">
        <v>57</v>
      </c>
      <c r="B147" s="68">
        <f>9*C7*C14-C7*0.15*C22*C23*C21/12*((C22/2-C43/2/12)/C22)+C7*U26*U27*C21/12*0.15</f>
        <v>836.54502009271346</v>
      </c>
      <c r="C147" s="39" t="s">
        <v>18</v>
      </c>
      <c r="D147" s="70"/>
      <c r="E147" s="37"/>
      <c r="F147" s="70"/>
      <c r="G147" s="37"/>
      <c r="H147" s="37"/>
      <c r="I147" s="38"/>
      <c r="L147" s="34" t="s">
        <v>25</v>
      </c>
      <c r="M147" s="37">
        <f>C7*C14*(3*(M144))+C7*C14*(4*(M144+0.866*C18*12))-C7*0.15*C22*C23*C21/12*((C22/2-C43/2/12)/C22)*(C22/2-C43/2/12)*12/2+C7*U26*U27*C21/12*0.15*(C22*12/2-U26*12/3)</f>
        <v>68276.486090960636</v>
      </c>
      <c r="N147" s="37" t="s">
        <v>26</v>
      </c>
    </row>
    <row r="148" spans="1:16" ht="18" x14ac:dyDescent="0.35">
      <c r="A148" s="59" t="s">
        <v>25</v>
      </c>
      <c r="B148" s="68">
        <f>C7*C14*(2*B145)+C7*C14*(3*(B145+0.5*C18*12))+C7*C14*(4*(B145+(0.5+0.866)*C18*12))-C7*0.15*C22*C23*C21/12*((C22/2-C43/2/12)/C22)*(C22/2-C43/2/12)*12/2+C7*U26*U27*C21/12*0.15*(C22*12/2-U26*12/3)</f>
        <v>75316.48609096065</v>
      </c>
      <c r="C148" s="39" t="s">
        <v>26</v>
      </c>
      <c r="D148" s="70"/>
      <c r="E148" s="37"/>
      <c r="F148" s="70"/>
      <c r="G148" s="37"/>
      <c r="H148" s="37"/>
      <c r="I148" s="38"/>
      <c r="L148" s="34" t="s">
        <v>65</v>
      </c>
      <c r="M148" s="70">
        <f>+M146*B144/M147</f>
        <v>0.42765106198733793</v>
      </c>
      <c r="N148" s="70"/>
    </row>
    <row r="149" spans="1:16" ht="18" x14ac:dyDescent="0.35">
      <c r="A149" s="59" t="s">
        <v>65</v>
      </c>
      <c r="B149" s="61">
        <f>+B147*B144/B148</f>
        <v>0.55862977641773803</v>
      </c>
      <c r="C149" s="39"/>
      <c r="D149" s="70"/>
      <c r="E149" s="70"/>
      <c r="F149" s="70"/>
      <c r="G149" s="37"/>
      <c r="H149" s="37"/>
      <c r="I149" s="38"/>
      <c r="L149" s="34" t="s">
        <v>66</v>
      </c>
      <c r="M149" s="70">
        <f>1/M148</f>
        <v>2.3383550022134831</v>
      </c>
      <c r="N149" s="70"/>
    </row>
    <row r="150" spans="1:16" ht="18" x14ac:dyDescent="0.35">
      <c r="A150" s="59" t="s">
        <v>415</v>
      </c>
      <c r="B150" s="61">
        <f>1/B149</f>
        <v>1.7900943383515766</v>
      </c>
      <c r="C150" s="39"/>
      <c r="D150" s="70"/>
      <c r="E150" s="70"/>
      <c r="F150" s="70"/>
      <c r="G150" s="37"/>
      <c r="H150" s="37"/>
      <c r="I150" s="38"/>
      <c r="L150" s="34" t="s">
        <v>6</v>
      </c>
      <c r="M150" s="70">
        <f>+MIN(1/M145*(3.5-2.5*M149)*(1.9+0.1*M148),10)</f>
        <v>-3.6097619593011854</v>
      </c>
      <c r="N150" s="70"/>
    </row>
    <row r="151" spans="1:16" ht="18" x14ac:dyDescent="0.35">
      <c r="A151" s="59" t="s">
        <v>6</v>
      </c>
      <c r="B151" s="61">
        <f>+MIN(1/B146*(3.5-2.5*B150)*(1.9+0.1*B149),10)</f>
        <v>-3.4885118341232384</v>
      </c>
      <c r="C151" s="39"/>
      <c r="D151" s="70"/>
      <c r="E151" s="70"/>
      <c r="F151" s="37"/>
      <c r="G151" s="37"/>
      <c r="H151" s="37"/>
      <c r="I151" s="38"/>
      <c r="L151" s="34" t="s">
        <v>12</v>
      </c>
      <c r="M151" s="37">
        <f>0.75*M150*(C10*1000)^0.5/1000*C23*12*B144</f>
        <v>-2572.3832546478557</v>
      </c>
      <c r="N151" s="37" t="s">
        <v>8</v>
      </c>
    </row>
    <row r="152" spans="1:16" ht="18" x14ac:dyDescent="0.35">
      <c r="A152" s="59" t="s">
        <v>12</v>
      </c>
      <c r="B152" s="68">
        <f>0.75*B151*(C10*1000)^0.5/1000*C23*12*B144</f>
        <v>-2485.9781688975227</v>
      </c>
      <c r="C152" s="39" t="s">
        <v>18</v>
      </c>
      <c r="D152" s="37"/>
      <c r="E152" s="37"/>
      <c r="F152" s="37"/>
      <c r="G152" s="37"/>
      <c r="H152" s="37"/>
      <c r="I152" s="38"/>
      <c r="L152" s="34" t="s">
        <v>14</v>
      </c>
      <c r="M152" s="37">
        <f>+M146/M151</f>
        <v>-0.22568371919066418</v>
      </c>
      <c r="N152" s="37"/>
    </row>
    <row r="153" spans="1:16" ht="18" x14ac:dyDescent="0.35">
      <c r="A153" s="59" t="s">
        <v>14</v>
      </c>
      <c r="B153" s="63">
        <f>+B147/B152</f>
        <v>-0.33650537665972463</v>
      </c>
      <c r="C153" s="37"/>
      <c r="D153" s="130" t="s">
        <v>280</v>
      </c>
      <c r="F153" s="16" t="s">
        <v>14</v>
      </c>
      <c r="G153" s="80">
        <f>+IF(B145&gt;0,B153,M152)</f>
        <v>-0.33650537665972463</v>
      </c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  <c r="L156" s="16" t="s">
        <v>83</v>
      </c>
      <c r="O156" s="16">
        <f>+B164/2*B112</f>
        <v>-195.56553789807342</v>
      </c>
      <c r="P156" s="16" t="s">
        <v>5</v>
      </c>
    </row>
    <row r="157" spans="1:16" x14ac:dyDescent="0.25">
      <c r="A157" s="59" t="s">
        <v>1</v>
      </c>
      <c r="B157" s="40">
        <f>+C21-C15-C16-P21-L21/2</f>
        <v>48.885000000000005</v>
      </c>
      <c r="C157" s="39" t="s">
        <v>0</v>
      </c>
      <c r="D157" s="37"/>
      <c r="E157" s="37"/>
      <c r="F157" s="37"/>
      <c r="G157" s="37"/>
      <c r="H157" s="37"/>
      <c r="I157" s="38"/>
      <c r="L157" s="34" t="s">
        <v>63</v>
      </c>
      <c r="M157" s="70">
        <f>+C18*12/2-C43/2+C12+C18*12/2</f>
        <v>63.5</v>
      </c>
      <c r="N157" s="37" t="s">
        <v>0</v>
      </c>
    </row>
    <row r="158" spans="1:16" x14ac:dyDescent="0.25">
      <c r="A158" s="59" t="s">
        <v>63</v>
      </c>
      <c r="B158" s="61">
        <f>+C18*12/2-C43/2+C12</f>
        <v>27.5</v>
      </c>
      <c r="C158" s="39" t="s">
        <v>0</v>
      </c>
      <c r="D158" s="70"/>
      <c r="E158" s="37"/>
      <c r="F158" s="37"/>
      <c r="G158" s="37"/>
      <c r="H158" s="37"/>
      <c r="I158" s="38"/>
      <c r="L158" s="34" t="s">
        <v>64</v>
      </c>
      <c r="M158" s="70">
        <f>MAX(M157/B157,0)</f>
        <v>1.29896696328117</v>
      </c>
      <c r="N158" s="37"/>
    </row>
    <row r="159" spans="1:16" ht="18" x14ac:dyDescent="0.35">
      <c r="A159" s="59" t="s">
        <v>64</v>
      </c>
      <c r="B159" s="61">
        <f>MAX(B158/B157,0)</f>
        <v>0.56254474787767206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  <c r="L159" s="34" t="s">
        <v>57</v>
      </c>
      <c r="M159" s="37">
        <f>7*C7*C14-C7*0.15*C22*C23*C21/12*((C23/2-C43/2/12)/C23)</f>
        <v>552.85880160000011</v>
      </c>
      <c r="N159" s="37" t="s">
        <v>8</v>
      </c>
    </row>
    <row r="160" spans="1:16" ht="18" x14ac:dyDescent="0.35">
      <c r="A160" s="59" t="s">
        <v>57</v>
      </c>
      <c r="B160" s="68">
        <f>9*C7*C14-C7*0.15*C22*C23*C21/12*((C23/2-C43/2/12)/C23)+C7*U26*U27*C21/12*0.15</f>
        <v>836.54502009271346</v>
      </c>
      <c r="C160" s="39" t="s">
        <v>18</v>
      </c>
      <c r="D160" s="70"/>
      <c r="E160" s="37"/>
      <c r="F160" s="70"/>
      <c r="G160" s="37"/>
      <c r="H160" s="37"/>
      <c r="I160" s="38"/>
      <c r="L160" s="34" t="s">
        <v>25</v>
      </c>
      <c r="M160" s="37">
        <f>C7*C14*(3*(M157))+C7*C14*(2*(M157+C18*12*0.5))+C7*C14*(2*(M157+C18*12*1))-C7*0.15*C22*C23*C21/12*((C23/2-C43/2/12)/C23)*(C23/2-C43/2/12)*12/2</f>
        <v>60892.649759081607</v>
      </c>
      <c r="N160" s="37" t="s">
        <v>26</v>
      </c>
    </row>
    <row r="161" spans="1:32" ht="18" x14ac:dyDescent="0.35">
      <c r="A161" s="59" t="s">
        <v>25</v>
      </c>
      <c r="B161" s="68">
        <f>C7*C14*(2*B158)+C7*C14*(3*(B158+0.5*C18*12))+C7*C14*(2*(B158+1*C18*12))+C7*C14*(2*(B158+1.5*C18*12))-C7*0.15*C22*C23*C21/12*((C23/2-C43/2/12)/C23)*(C23/2-C43/2/12)*12/2+C7*U26*U27*C21/12*0.15*(C23*12/2-U27*12/3)</f>
        <v>71792.219848274108</v>
      </c>
      <c r="C161" s="39" t="s">
        <v>26</v>
      </c>
      <c r="D161" s="70"/>
      <c r="E161" s="37"/>
      <c r="F161" s="70"/>
      <c r="G161" s="37"/>
      <c r="H161" s="37"/>
      <c r="I161" s="38"/>
      <c r="L161" s="34" t="s">
        <v>65</v>
      </c>
      <c r="M161" s="70">
        <f>+M159*B157/M160</f>
        <v>0.44383850305652434</v>
      </c>
      <c r="N161" s="70"/>
    </row>
    <row r="162" spans="1:32" ht="18" x14ac:dyDescent="0.35">
      <c r="A162" s="59" t="s">
        <v>65</v>
      </c>
      <c r="B162" s="61">
        <f>+B160*B157/B161</f>
        <v>0.56962305098879606</v>
      </c>
      <c r="C162" s="39"/>
      <c r="D162" s="70"/>
      <c r="E162" s="70"/>
      <c r="F162" s="70"/>
      <c r="G162" s="37"/>
      <c r="H162" s="37"/>
      <c r="I162" s="38"/>
      <c r="L162" s="34" t="s">
        <v>66</v>
      </c>
      <c r="M162" s="70">
        <f>1/M161</f>
        <v>2.2530717662244966</v>
      </c>
      <c r="N162" s="70"/>
    </row>
    <row r="163" spans="1:32" ht="18" x14ac:dyDescent="0.35">
      <c r="A163" s="59" t="s">
        <v>415</v>
      </c>
      <c r="B163" s="61">
        <f>1/B162</f>
        <v>1.7555469327726856</v>
      </c>
      <c r="C163" s="39"/>
      <c r="D163" s="70"/>
      <c r="E163" s="70"/>
      <c r="F163" s="70"/>
      <c r="G163" s="37"/>
      <c r="H163" s="37"/>
      <c r="I163" s="38"/>
      <c r="L163" s="34" t="s">
        <v>6</v>
      </c>
      <c r="M163" s="70">
        <f>+MIN(1/M158*(3.5-2.5*M162)*(1.9+0.1*M161),10)</f>
        <v>-3.1923424773036237</v>
      </c>
      <c r="N163" s="70"/>
    </row>
    <row r="164" spans="1:32" ht="18" x14ac:dyDescent="0.35">
      <c r="A164" s="59" t="s">
        <v>6</v>
      </c>
      <c r="B164" s="61">
        <f>+MIN(1/B159*(3.5-2.5*B163)*(1.9+0.1*B162),10)</f>
        <v>-3.0921626579694506</v>
      </c>
      <c r="C164" s="39"/>
      <c r="D164" s="70"/>
      <c r="E164" s="70"/>
      <c r="F164" s="37"/>
      <c r="G164" s="37"/>
      <c r="H164" s="37"/>
      <c r="I164" s="38"/>
      <c r="L164" s="34" t="s">
        <v>12</v>
      </c>
      <c r="M164" s="37">
        <f>0.75*M163*(C10*1000)^0.5/1000*C22*12*B157</f>
        <v>-2211.1458676493176</v>
      </c>
      <c r="N164" s="37" t="s">
        <v>8</v>
      </c>
    </row>
    <row r="165" spans="1:32" ht="18" x14ac:dyDescent="0.35">
      <c r="A165" s="59" t="s">
        <v>12</v>
      </c>
      <c r="B165" s="68">
        <f>0.75*B164*(C10*1000)^0.5/1000*C22*12*B157</f>
        <v>-2141.7572619099642</v>
      </c>
      <c r="C165" s="39" t="s">
        <v>18</v>
      </c>
      <c r="D165" s="37"/>
      <c r="E165" s="37"/>
      <c r="F165" s="37"/>
      <c r="G165" s="37"/>
      <c r="H165" s="37"/>
      <c r="I165" s="38"/>
      <c r="L165" s="34" t="s">
        <v>14</v>
      </c>
      <c r="M165" s="37">
        <f>+M159/M164</f>
        <v>-0.25003271366612623</v>
      </c>
      <c r="N165" s="37"/>
    </row>
    <row r="166" spans="1:32" ht="18" x14ac:dyDescent="0.35">
      <c r="A166" s="59" t="s">
        <v>14</v>
      </c>
      <c r="B166" s="63">
        <f>+B160/B165</f>
        <v>-0.3905881562631911</v>
      </c>
      <c r="C166" s="37"/>
      <c r="D166" s="130" t="s">
        <v>280</v>
      </c>
      <c r="F166" s="16" t="s">
        <v>14</v>
      </c>
      <c r="G166" s="80">
        <f>+IF(B158&gt;0,B166,M165)</f>
        <v>-0.3905881562631911</v>
      </c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50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+C23*C22*C21/12/27-2*U26*U27*C21/12/27</f>
        <v>106.19777157632305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70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10995.25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8.7247239338199076</v>
      </c>
      <c r="AF172" s="16" t="s">
        <v>5</v>
      </c>
    </row>
    <row r="173" spans="1:32" ht="18.75" x14ac:dyDescent="0.35">
      <c r="A173" s="34"/>
      <c r="B173" s="40">
        <f>+C66</f>
        <v>17</v>
      </c>
      <c r="C173" s="39" t="s">
        <v>70</v>
      </c>
      <c r="D173" s="72" t="str">
        <f>"#"&amp;+C24</f>
        <v>#11</v>
      </c>
      <c r="E173" s="37" t="s">
        <v>71</v>
      </c>
      <c r="F173" s="37" t="s">
        <v>72</v>
      </c>
      <c r="G173" s="43">
        <f>+C23-0.5</f>
        <v>24.391999999999999</v>
      </c>
      <c r="H173" s="39" t="s">
        <v>73</v>
      </c>
      <c r="I173" s="38"/>
      <c r="Q173" s="16" t="s">
        <v>7</v>
      </c>
      <c r="R173" s="16">
        <f>+R172*T171/1000</f>
        <v>2781.6026754373097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1.7281312499999999</v>
      </c>
      <c r="H174" s="39" t="s">
        <v>73</v>
      </c>
      <c r="I174" s="38"/>
      <c r="Q174" s="16" t="s">
        <v>12</v>
      </c>
      <c r="R174" s="16">
        <f>+R173*0.75</f>
        <v>2086.2020065779825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2203.1558435061875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95.930520833333333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4.5983332645091787E-2</v>
      </c>
    </row>
    <row r="177" spans="1:32" x14ac:dyDescent="0.25">
      <c r="A177" s="34"/>
      <c r="B177" s="40">
        <f>+C84</f>
        <v>17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24.391999999999999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2203.1558435061875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50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4406.3116870123749</v>
      </c>
      <c r="D181" s="39" t="s">
        <v>78</v>
      </c>
      <c r="E181" s="37" t="s">
        <v>79</v>
      </c>
      <c r="F181" s="80">
        <f>+C181/2000</f>
        <v>2.2031558435061873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219.905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18195.25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9.9987920382151021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4603.074607694296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3452.305955770722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181.93052083333333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5.269826115186179E-2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50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25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84.976249999999993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4248.8125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25.738398719249986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1074.8739880795331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806.15549105964988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109.35763020833333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0.13565327213065106</v>
      </c>
      <c r="T199" s="16" t="s">
        <v>145</v>
      </c>
      <c r="V199" s="16">
        <f>+(C19*C19+C19*T170+3.1415*T170^2/4/4)/144</f>
        <v>15.535308159722222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50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4421.2999999999993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25.266415088812678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559.25512875609809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419.44134656707354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111.71040103216748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0.26633139995964533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7" orientation="portrait" r:id="rId1"/>
  <headerFooter>
    <oddHeader>&amp;R"CRSI-PILECAP" Program
Version 1.0</oddHeader>
    <oddFooter>&amp;C&amp;P of &amp;N&amp;R&amp;D  &amp;T</oddFooter>
  </headerFooter>
  <rowBreaks count="5" manualBreakCount="5">
    <brk id="44" max="35" man="1"/>
    <brk id="85" max="35" man="1"/>
    <brk id="126" max="35" man="1"/>
    <brk id="167" max="35" man="1"/>
    <brk id="208" max="35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278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21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21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21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20.737575</v>
      </c>
    </row>
    <row r="20" spans="1:21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6" t="s">
        <v>258</v>
      </c>
      <c r="F20" s="43">
        <f>+C22-2*U26</f>
        <v>19.443418013856814</v>
      </c>
      <c r="G20" s="39" t="s">
        <v>394</v>
      </c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21" ht="18" x14ac:dyDescent="0.35">
      <c r="A21" s="34"/>
      <c r="B21" s="36" t="s">
        <v>397</v>
      </c>
      <c r="C21" s="84">
        <v>62</v>
      </c>
      <c r="D21" s="39" t="s">
        <v>0</v>
      </c>
      <c r="E21" s="36" t="s">
        <v>259</v>
      </c>
      <c r="F21" s="63">
        <f>2*S27</f>
        <v>11.061999999999999</v>
      </c>
      <c r="G21" s="39" t="s">
        <v>394</v>
      </c>
      <c r="H21" s="37"/>
      <c r="I21" s="38"/>
      <c r="J21" s="16" t="s">
        <v>33</v>
      </c>
      <c r="L21" s="16">
        <f>+IF(C24&lt;9,(C24/8),IF(C24=9,1.128,IF(C24=10,1.27,IF(C24=11,1.41,IF(C24=14,1.693,0)))))</f>
        <v>1.41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21" ht="17.25" x14ac:dyDescent="0.25">
      <c r="A22" s="34"/>
      <c r="B22" s="36" t="s">
        <v>398</v>
      </c>
      <c r="C22" s="121">
        <f>2*C19/12+4*C18</f>
        <v>26.5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1.5614040375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21" x14ac:dyDescent="0.25">
      <c r="A23" s="34"/>
      <c r="B23" s="36" t="s">
        <v>399</v>
      </c>
      <c r="C23" s="122">
        <f>2*C19/12+4*C18*0.866</f>
        <v>23.283999999999999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21" x14ac:dyDescent="0.25">
      <c r="A24" s="34"/>
      <c r="B24" s="36" t="s">
        <v>400</v>
      </c>
      <c r="C24" s="81">
        <v>11</v>
      </c>
      <c r="D24" s="39"/>
      <c r="E24" s="37"/>
      <c r="F24" s="37"/>
      <c r="G24" s="37"/>
      <c r="H24" s="37"/>
      <c r="I24" s="38"/>
    </row>
    <row r="25" spans="1:21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21" ht="18" x14ac:dyDescent="0.35">
      <c r="A26" s="34"/>
      <c r="B26" s="36" t="s">
        <v>402</v>
      </c>
      <c r="C26" s="123">
        <f>+C21-C15-C16-P21-0.5*L21</f>
        <v>50.885000000000005</v>
      </c>
      <c r="D26" s="39" t="s">
        <v>0</v>
      </c>
      <c r="E26" s="37"/>
      <c r="F26" s="37"/>
      <c r="G26" s="37"/>
      <c r="H26" s="37"/>
      <c r="I26" s="38"/>
      <c r="O26" s="113"/>
      <c r="P26" s="113" t="s">
        <v>256</v>
      </c>
      <c r="Q26" s="113">
        <f>+C22/2</f>
        <v>13.25</v>
      </c>
      <c r="R26" s="113" t="s">
        <v>260</v>
      </c>
      <c r="S26" s="113">
        <f>+Q26</f>
        <v>13.25</v>
      </c>
      <c r="T26" s="113" t="s">
        <v>263</v>
      </c>
      <c r="U26" s="113">
        <f>+U27/0.866*0.5</f>
        <v>3.5282909930715936</v>
      </c>
    </row>
    <row r="27" spans="1:21" ht="18" x14ac:dyDescent="0.35">
      <c r="A27" s="34"/>
      <c r="B27" s="36" t="s">
        <v>403</v>
      </c>
      <c r="C27" s="61">
        <f>+C21-C15-C16-P21/2</f>
        <v>52.295000000000002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  <c r="O27" s="113"/>
      <c r="P27" s="113" t="s">
        <v>257</v>
      </c>
      <c r="Q27" s="113">
        <f>0.866*C18-1.732*C19/12</f>
        <v>3.0309999999999997</v>
      </c>
      <c r="R27" s="113" t="s">
        <v>261</v>
      </c>
      <c r="S27" s="113">
        <f>+Q27+2*C19/12</f>
        <v>5.5309999999999997</v>
      </c>
      <c r="T27" s="113" t="s">
        <v>262</v>
      </c>
      <c r="U27" s="113">
        <f>+(C23-F21)/2</f>
        <v>6.1109999999999998</v>
      </c>
    </row>
    <row r="28" spans="1:21" ht="18" x14ac:dyDescent="0.35">
      <c r="A28" s="34"/>
      <c r="B28" s="36" t="s">
        <v>404</v>
      </c>
      <c r="C28" s="45">
        <f>+C21-C15-C16-1</f>
        <v>52</v>
      </c>
      <c r="D28" s="39" t="s">
        <v>0</v>
      </c>
      <c r="E28" s="37"/>
      <c r="F28" s="37"/>
      <c r="G28" s="37"/>
      <c r="H28" s="37"/>
      <c r="I28" s="38"/>
      <c r="O28" s="113"/>
      <c r="P28" s="113"/>
      <c r="Q28" s="113"/>
      <c r="R28" s="113"/>
      <c r="S28" s="113"/>
      <c r="T28" s="113"/>
      <c r="U28" s="113"/>
    </row>
    <row r="29" spans="1:21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M29" s="16">
        <f>+IF(C9="Round",C17,L27)</f>
        <v>20</v>
      </c>
    </row>
    <row r="30" spans="1:21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21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21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52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26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72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11761.776000000002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+IF(B131&gt;B129,"NA",IF(G140&lt;1,"OK","NG"))</f>
        <v>NA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7.9019409993864844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">
        <v>227</v>
      </c>
      <c r="I37" s="38"/>
      <c r="J37" s="16" t="s">
        <v>7</v>
      </c>
      <c r="K37" s="16">
        <f>+K36*M35/1000</f>
        <v>2975.5201190963685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2231.6400893222763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92.940859999999986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4.1646885823880798E-2</v>
      </c>
    </row>
    <row r="41" spans="1:25" ht="18" x14ac:dyDescent="0.35">
      <c r="A41" s="34"/>
      <c r="B41" s="59" t="s">
        <v>22</v>
      </c>
      <c r="C41" s="60">
        <f>C7*22*C14-C7*C22*C23*C21/12*0.15+C7*2*U26*U27*C21/12*0.15</f>
        <v>2104.3599979214782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22.936651880350137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23</v>
      </c>
      <c r="D43" s="39" t="s">
        <v>0</v>
      </c>
      <c r="E43" s="115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C7*C14*(5*(0.866*C18*12+C12-C43/4))+C7*C14*(4*(2*0.866*C18*12+C12-C43/4))-C7*(C23/2-C43/12/4)*C22*C21/12*0.15*(C23/2-C43/12/4)*12/2+C7*U26*U27*C21/12*0.15*(C23*12/2-U27*12/3)</f>
        <v>79099.452594258124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2984.8850035569103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50.885000000000005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1.1200176719881654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29.680468307686382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39.573957743581843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51.170174598578413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53.938100000000006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53.938100000000006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35.488799999999998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39.573957743581843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1.1381205978354234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18.27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0.93540093202635377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3.7050000000000001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31.597798897384266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3.7050000000000001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39.573957743581843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3.7050000000000001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40.129303507536733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125.20400000000001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25.345110421864042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18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40.129303507536733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125.20400000000001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C7*C14*(3*(0.5*C18*12+C12-C43/4))+C7*C14*(2*(1*C18*12+C12-C43/4))+C7*C14*(3*(1.5*C18*12+C12-C43/4))+C7*C14*(2*(2*C18*12+C12-C43/4))-C7*(C22/2-C43/12/4)*C23*C21/12*0.15*(C22/2-C43/12/4)*12/2+C7*U26*U27*C21/12*0.15*(C22*12/2-U26*12/3)</f>
        <v>82692.42342596536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3551.4698258875351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52.295000000000002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16.999874999999999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1.2974225942538382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30.209187684606366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40.278916912808491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46.206067051120314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48.705471200000005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48.705471200000005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31.181932799999998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40.278916912808491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144.5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144.5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25.796600972865416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17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37.5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52</v>
      </c>
      <c r="C87" s="39" t="s">
        <v>0</v>
      </c>
      <c r="D87" s="37"/>
      <c r="E87" s="37"/>
      <c r="F87" s="37"/>
      <c r="G87" s="70"/>
      <c r="H87" s="37"/>
      <c r="I87" s="38"/>
      <c r="J87" s="16" t="s">
        <v>238</v>
      </c>
      <c r="K87" s="51"/>
      <c r="L87" s="51"/>
      <c r="M87" s="51"/>
      <c r="N87" s="51"/>
      <c r="O87" s="51">
        <f>+C18*12*0.866+C12</f>
        <v>65.352000000000004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26</v>
      </c>
      <c r="C88" s="39" t="s">
        <v>0</v>
      </c>
      <c r="D88" s="37"/>
      <c r="E88" s="37"/>
      <c r="F88" s="37"/>
      <c r="G88" s="70"/>
      <c r="H88" s="37"/>
      <c r="I88" s="38"/>
      <c r="J88" s="16" t="s">
        <v>249</v>
      </c>
      <c r="K88" s="51"/>
      <c r="L88" s="51"/>
      <c r="M88" s="51"/>
      <c r="N88" s="51"/>
      <c r="O88" s="51">
        <f>+(2*0.866)*C18*12+C12</f>
        <v>127.70399999999999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+IF(M86&gt;O92,0,IF(M86&gt;O88,4,IF(M86&gt;O91,10,IF(M86&gt;O90,14,IF(M86&gt;O87,18,IF(M86&gt;O89,20,22))))))</f>
        <v>22</v>
      </c>
      <c r="F89" s="37"/>
      <c r="G89" s="37"/>
      <c r="H89" s="37"/>
      <c r="I89" s="38"/>
      <c r="J89" s="16" t="s">
        <v>239</v>
      </c>
      <c r="K89" s="51"/>
      <c r="L89" s="51"/>
      <c r="M89" s="51"/>
      <c r="N89" s="51"/>
      <c r="O89" s="51">
        <f>+C18*12*0.5+C12</f>
        <v>39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240</v>
      </c>
      <c r="K90" s="51"/>
      <c r="L90" s="51"/>
      <c r="M90" s="51"/>
      <c r="N90" s="51"/>
      <c r="O90" s="51">
        <f>+C18*12*1+C12</f>
        <v>75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300</v>
      </c>
      <c r="C91" s="39" t="s">
        <v>0</v>
      </c>
      <c r="D91" s="37"/>
      <c r="E91" s="37"/>
      <c r="F91" s="37"/>
      <c r="G91" s="37"/>
      <c r="H91" s="37"/>
      <c r="I91" s="38"/>
      <c r="J91" s="16" t="s">
        <v>241</v>
      </c>
      <c r="K91" s="51"/>
      <c r="L91" s="51"/>
      <c r="M91" s="51"/>
      <c r="N91" s="51"/>
      <c r="O91" s="51">
        <f>+C18*12*1.5+C12</f>
        <v>111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3946.5225198901376</v>
      </c>
      <c r="C92" s="39" t="s">
        <v>18</v>
      </c>
      <c r="D92" s="37" t="s">
        <v>15</v>
      </c>
      <c r="E92" s="37"/>
      <c r="F92" s="37"/>
      <c r="G92" s="37"/>
      <c r="H92" s="37"/>
      <c r="I92" s="38"/>
      <c r="J92" s="16" t="s">
        <v>279</v>
      </c>
      <c r="K92" s="51"/>
      <c r="L92" s="51"/>
      <c r="M92" s="51"/>
      <c r="N92" s="51"/>
      <c r="O92" s="51">
        <f>+C18*12*2+C12</f>
        <v>147</v>
      </c>
      <c r="P92" s="16" t="s">
        <v>0</v>
      </c>
      <c r="Q92" s="16" t="s">
        <v>119</v>
      </c>
    </row>
    <row r="93" spans="1:17" ht="18" x14ac:dyDescent="0.35">
      <c r="A93" s="59" t="s">
        <v>12</v>
      </c>
      <c r="B93" s="68">
        <f>+B92*0.75</f>
        <v>2959.8918899176033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+E89*C7*C14-C7*0.15*C22*C23*C21/12+C7*0.15*(2*M86)/12*(2*M86)/12*C21/12+C7*2*U26*U27*C21/12*0.15</f>
        <v>2152.7974979214782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0.7273230165110548</v>
      </c>
      <c r="C95" s="37"/>
      <c r="D95" s="37"/>
      <c r="E95" s="37"/>
      <c r="F95" s="37"/>
      <c r="G95" s="37"/>
      <c r="H95" s="37"/>
      <c r="I95" s="38"/>
      <c r="L95" s="16" t="s">
        <v>83</v>
      </c>
      <c r="O95" s="16">
        <f>+B90</f>
        <v>252.98221281347034</v>
      </c>
      <c r="P95" s="16" t="s">
        <v>5</v>
      </c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63.5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52</v>
      </c>
      <c r="C99" s="39" t="s">
        <v>0</v>
      </c>
      <c r="D99" s="37"/>
      <c r="E99" s="37"/>
      <c r="F99" s="37"/>
      <c r="G99" s="37"/>
      <c r="H99" s="37"/>
      <c r="I99" s="38"/>
      <c r="J99" s="16" t="s">
        <v>239</v>
      </c>
      <c r="K99" s="51"/>
      <c r="L99" s="51"/>
      <c r="M99" s="51"/>
      <c r="N99" s="51"/>
      <c r="O99" s="51">
        <f>+C18*12*0.5+C12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+IF(M98&gt;O102,0,IF(M98&gt;O101,2,IF(M98&gt;O100,5,IF(M98&gt;O99,7,10))))</f>
        <v>7</v>
      </c>
      <c r="F100" s="37"/>
      <c r="G100" s="37"/>
      <c r="H100" s="37"/>
      <c r="I100" s="38"/>
      <c r="J100" s="16" t="s">
        <v>240</v>
      </c>
      <c r="K100" s="51"/>
      <c r="L100" s="51"/>
      <c r="M100" s="51"/>
      <c r="N100" s="51"/>
      <c r="O100" s="51">
        <f>+C18*12*1+C12</f>
        <v>75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J101" s="16" t="s">
        <v>241</v>
      </c>
      <c r="K101" s="51"/>
      <c r="L101" s="51"/>
      <c r="M101" s="51"/>
      <c r="N101" s="51"/>
      <c r="O101" s="51">
        <f>+C18*12*1.5+C12</f>
        <v>111</v>
      </c>
      <c r="P101" s="16" t="s">
        <v>0</v>
      </c>
      <c r="Q101" s="16" t="s">
        <v>119</v>
      </c>
    </row>
    <row r="102" spans="1:17" x14ac:dyDescent="0.25">
      <c r="A102" s="59" t="s">
        <v>61</v>
      </c>
      <c r="B102" s="68">
        <f>+M105*12*B99</f>
        <v>14529.216</v>
      </c>
      <c r="C102" s="39" t="s">
        <v>407</v>
      </c>
      <c r="D102" s="37"/>
      <c r="E102" s="37"/>
      <c r="F102" s="37"/>
      <c r="G102" s="37"/>
      <c r="H102" s="37"/>
      <c r="I102" s="38"/>
      <c r="J102" s="16" t="s">
        <v>279</v>
      </c>
      <c r="K102" s="51"/>
      <c r="L102" s="51"/>
      <c r="M102" s="51"/>
      <c r="N102" s="51"/>
      <c r="O102" s="51">
        <f>+C18*12*2+C12</f>
        <v>147</v>
      </c>
      <c r="P102" s="16" t="s">
        <v>0</v>
      </c>
      <c r="Q102" s="16" t="s">
        <v>119</v>
      </c>
    </row>
    <row r="103" spans="1:17" ht="18.75" x14ac:dyDescent="0.35">
      <c r="A103" s="59" t="s">
        <v>7</v>
      </c>
      <c r="B103" s="68">
        <f>+B101*B102/1000</f>
        <v>1837.8166070624393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1378.3624552968295</v>
      </c>
      <c r="C104" s="39" t="s">
        <v>18</v>
      </c>
      <c r="D104" s="37"/>
      <c r="E104" s="37"/>
      <c r="F104" s="37"/>
      <c r="G104" s="37"/>
      <c r="H104" s="37"/>
      <c r="I104" s="38"/>
      <c r="L104" s="16" t="s">
        <v>268</v>
      </c>
      <c r="M104" s="16">
        <f>+C23</f>
        <v>23.283999999999999</v>
      </c>
    </row>
    <row r="105" spans="1:17" ht="18" x14ac:dyDescent="0.35">
      <c r="A105" s="59" t="s">
        <v>57</v>
      </c>
      <c r="B105" s="68">
        <f>+E100*C14*C7-C7*0.15*C22*C23*C21/12*((C22/2-M98/12)/C22)+C7*U26*U27*C21/12*0.15</f>
        <v>692.96184562740575</v>
      </c>
      <c r="C105" s="39" t="s">
        <v>18</v>
      </c>
      <c r="D105" s="37" t="s">
        <v>131</v>
      </c>
      <c r="E105" s="37"/>
      <c r="F105" s="37"/>
      <c r="G105" s="37"/>
      <c r="H105" s="37"/>
      <c r="I105" s="38"/>
      <c r="L105" s="16" t="s">
        <v>267</v>
      </c>
      <c r="M105" s="16">
        <f>+IF(M98/12&lt;F20/2,C23,C23-2*(M98/12-F20/2)/0.5*0.866)</f>
        <v>23.283999999999999</v>
      </c>
    </row>
    <row r="106" spans="1:17" ht="18" x14ac:dyDescent="0.35">
      <c r="A106" s="59" t="s">
        <v>14</v>
      </c>
      <c r="B106" s="63">
        <f>+B105/B104</f>
        <v>0.50274283296419076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63.5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52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250</v>
      </c>
      <c r="K110" s="51"/>
      <c r="L110" s="51"/>
      <c r="M110" s="51"/>
      <c r="N110" s="51"/>
      <c r="O110" s="51">
        <f>+C18*12*0.866+C12</f>
        <v>65.352000000000004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+IF(M109&gt;O111,0,IF(M109&gt;O110,4,9))</f>
        <v>9</v>
      </c>
      <c r="F111" s="37"/>
      <c r="G111" s="37"/>
      <c r="H111" s="37"/>
      <c r="I111" s="38"/>
      <c r="J111" s="16" t="s">
        <v>251</v>
      </c>
      <c r="K111" s="51"/>
      <c r="L111" s="51"/>
      <c r="M111" s="51"/>
      <c r="N111" s="51"/>
      <c r="O111" s="51">
        <f>+(2*0.866)*C18*12+C12</f>
        <v>127.70399999999999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K112" s="51"/>
      <c r="L112" s="51"/>
      <c r="M112" s="51"/>
      <c r="N112" s="51"/>
      <c r="O112" s="51"/>
    </row>
    <row r="113" spans="1:23" x14ac:dyDescent="0.25">
      <c r="A113" s="59" t="s">
        <v>61</v>
      </c>
      <c r="B113" s="68">
        <f>+M116*12*B110</f>
        <v>16536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2091.6569355417728</v>
      </c>
      <c r="C114" s="39" t="s">
        <v>18</v>
      </c>
      <c r="D114" s="37" t="s">
        <v>62</v>
      </c>
      <c r="E114" s="37"/>
      <c r="F114" s="37"/>
      <c r="G114" s="37"/>
      <c r="H114" s="37"/>
      <c r="I114" s="38"/>
      <c r="L114" s="16" t="s">
        <v>83</v>
      </c>
      <c r="O114" s="16">
        <f>+B112</f>
        <v>126.49110640673517</v>
      </c>
      <c r="P114" s="16" t="s">
        <v>5</v>
      </c>
    </row>
    <row r="115" spans="1:23" ht="18" x14ac:dyDescent="0.35">
      <c r="A115" s="59" t="s">
        <v>12</v>
      </c>
      <c r="B115" s="68">
        <f>+B114*0.75</f>
        <v>1568.7427016563297</v>
      </c>
      <c r="C115" s="39" t="s">
        <v>18</v>
      </c>
      <c r="D115" s="37"/>
      <c r="E115" s="37"/>
      <c r="F115" s="37"/>
      <c r="G115" s="37"/>
      <c r="H115" s="37"/>
      <c r="I115" s="38"/>
      <c r="L115" s="16" t="s">
        <v>268</v>
      </c>
      <c r="M115" s="16">
        <f>+C22</f>
        <v>26.5</v>
      </c>
    </row>
    <row r="116" spans="1:23" ht="18" x14ac:dyDescent="0.35">
      <c r="A116" s="59" t="s">
        <v>57</v>
      </c>
      <c r="B116" s="68">
        <f>+E111*C14*C7-C7*0.15*C22*C23*C21/12*((C23/2-M109/12)/C23)+C7*U26*U27*C21/12*0.15</f>
        <v>970.06416562740583</v>
      </c>
      <c r="C116" s="39" t="s">
        <v>18</v>
      </c>
      <c r="D116" s="37" t="s">
        <v>131</v>
      </c>
      <c r="E116" s="37"/>
      <c r="F116" s="37"/>
      <c r="G116" s="37"/>
      <c r="H116" s="37"/>
      <c r="I116" s="38"/>
      <c r="L116" s="16" t="s">
        <v>267</v>
      </c>
      <c r="M116" s="16">
        <f>+IF(M109/12&lt;F21/2,C22,C22-2*(M109/12-F21/2)/0.866*0.5)</f>
        <v>26.5</v>
      </c>
    </row>
    <row r="117" spans="1:23" ht="18" x14ac:dyDescent="0.35">
      <c r="A117" s="59" t="s">
        <v>14</v>
      </c>
      <c r="B117" s="63">
        <f>+B116/B115</f>
        <v>0.61837047248295107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40.676000000000002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2055.443037777778</v>
      </c>
      <c r="W127" s="37" t="s">
        <v>8</v>
      </c>
    </row>
    <row r="128" spans="1:23" ht="18.75" x14ac:dyDescent="0.35">
      <c r="A128" s="59" t="s">
        <v>1</v>
      </c>
      <c r="B128" s="43">
        <f>+B87</f>
        <v>52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4" ht="18.75" x14ac:dyDescent="0.35">
      <c r="A129" s="59" t="s">
        <v>53</v>
      </c>
      <c r="B129" s="63">
        <f>+B128/2</f>
        <v>26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4" ht="18" x14ac:dyDescent="0.35">
      <c r="A130" s="59"/>
      <c r="B130" s="37"/>
      <c r="C130" s="37"/>
      <c r="D130" s="59" t="s">
        <v>453</v>
      </c>
      <c r="E130" s="72">
        <v>22</v>
      </c>
      <c r="G130" s="37"/>
      <c r="H130" s="37"/>
      <c r="I130" s="38"/>
      <c r="K130" s="16">
        <v>1</v>
      </c>
      <c r="L130" s="37" t="s">
        <v>14</v>
      </c>
      <c r="M130" s="37">
        <f>+IF(B131&gt;0,B140,V139)</f>
        <v>0.75360301917783912</v>
      </c>
      <c r="Q130" s="37" t="s">
        <v>16</v>
      </c>
      <c r="R130" s="16">
        <f>+C18*12*0.866-C43/2+C12</f>
        <v>53.851999999999997</v>
      </c>
      <c r="S130" s="16" t="s">
        <v>0</v>
      </c>
      <c r="U130" s="37" t="s">
        <v>11</v>
      </c>
      <c r="V130" s="37">
        <f>+B135</f>
        <v>300</v>
      </c>
      <c r="W130" s="37" t="s">
        <v>0</v>
      </c>
    </row>
    <row r="131" spans="1:24" ht="18" x14ac:dyDescent="0.35">
      <c r="A131" s="59" t="s">
        <v>452</v>
      </c>
      <c r="B131" s="43">
        <f>+C18*12/2-C43/2+C12</f>
        <v>27.5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K131" s="16">
        <v>2</v>
      </c>
      <c r="L131" s="37" t="s">
        <v>14</v>
      </c>
      <c r="M131" s="37">
        <f>+IF(R130&gt;0,R139,X139)</f>
        <v>1.4757465377732724</v>
      </c>
      <c r="Q131" s="37" t="s">
        <v>13</v>
      </c>
      <c r="R131" s="37">
        <f>+C14*E130*C7-C7*0.15*C22*C23*C21/12+C7*0.15*(C43)/12*(C43)/12*C21/12+C7*2*U26*U27*C21/12*0.15</f>
        <v>2108.9152756992562</v>
      </c>
      <c r="S131" s="37" t="s">
        <v>8</v>
      </c>
      <c r="T131" s="37"/>
      <c r="U131" s="37" t="s">
        <v>2</v>
      </c>
      <c r="V131" s="37">
        <f>+B136</f>
        <v>92</v>
      </c>
      <c r="W131" s="37" t="s">
        <v>0</v>
      </c>
      <c r="X131" s="37"/>
    </row>
    <row r="132" spans="1:24" ht="18.75" x14ac:dyDescent="0.35">
      <c r="A132" s="59" t="s">
        <v>57</v>
      </c>
      <c r="B132" s="68">
        <f>+C14*E130*C7-C7*0.15*C22*C23*C21/12+C7*0.15*(C43)/12*(C43)/12*C21/12+C7*2*U26*U27*C21/12*0.15</f>
        <v>2108.9152756992562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8.3373594941146774</v>
      </c>
      <c r="W132" s="37"/>
      <c r="X132" s="37"/>
    </row>
    <row r="133" spans="1:24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2522.6075699956623</v>
      </c>
      <c r="W133" s="37" t="s">
        <v>8</v>
      </c>
      <c r="X133" s="37"/>
    </row>
    <row r="134" spans="1:24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300</v>
      </c>
      <c r="S134" s="37" t="s">
        <v>0</v>
      </c>
      <c r="T134" s="37"/>
      <c r="U134" s="34" t="s">
        <v>12</v>
      </c>
      <c r="V134" s="37">
        <f>+V133*0.75</f>
        <v>1891.9556774967468</v>
      </c>
      <c r="W134" s="37" t="s">
        <v>8</v>
      </c>
      <c r="X134" s="37"/>
    </row>
    <row r="135" spans="1:24" ht="18" x14ac:dyDescent="0.35">
      <c r="A135" s="59" t="s">
        <v>11</v>
      </c>
      <c r="B135" s="61">
        <f>4*(B128+C43)</f>
        <v>300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779.945162033624</v>
      </c>
      <c r="P135" s="16" t="s">
        <v>5</v>
      </c>
      <c r="Q135" s="37" t="s">
        <v>2</v>
      </c>
      <c r="R135" s="37">
        <f>+B136</f>
        <v>92</v>
      </c>
      <c r="S135" s="37" t="s">
        <v>0</v>
      </c>
      <c r="T135" s="37"/>
      <c r="U135" s="34" t="s">
        <v>14</v>
      </c>
      <c r="V135" s="37">
        <f>+V127/V134</f>
        <v>1.0864118341806728</v>
      </c>
      <c r="W135" s="37"/>
      <c r="X135" s="37"/>
    </row>
    <row r="136" spans="1:24" ht="18" x14ac:dyDescent="0.35">
      <c r="A136" s="59" t="s">
        <v>2</v>
      </c>
      <c r="B136" s="61">
        <f>4*C43</f>
        <v>92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6.2974529225025755</v>
      </c>
      <c r="S136" s="37"/>
      <c r="T136" s="37"/>
      <c r="U136" s="34"/>
      <c r="V136" s="37"/>
      <c r="W136" s="37"/>
      <c r="X136" s="37"/>
    </row>
    <row r="137" spans="1:24" ht="18" x14ac:dyDescent="0.35">
      <c r="A137" s="59" t="s">
        <v>6</v>
      </c>
      <c r="B137" s="61">
        <f>IF(2*B128/B131*(1+B128/C43)&lt;32,2*B128/B131*(1+B128/C43),32)</f>
        <v>12.33201581027668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9.3147343663896276</v>
      </c>
      <c r="Q137" s="37" t="s">
        <v>7</v>
      </c>
      <c r="R137" s="37">
        <f>+R136*(C10*1000)^0.5*R135*B128/1000</f>
        <v>1905.3997162063351</v>
      </c>
      <c r="S137" s="37" t="s">
        <v>8</v>
      </c>
      <c r="T137" s="37"/>
      <c r="U137" s="34"/>
      <c r="V137" s="37"/>
      <c r="W137" s="37"/>
      <c r="X137" s="37"/>
    </row>
    <row r="138" spans="1:24" ht="18.75" x14ac:dyDescent="0.35">
      <c r="A138" s="59" t="s">
        <v>7</v>
      </c>
      <c r="B138" s="68">
        <f>+B137*(C10*1000)^0.5*B136*B128/1000</f>
        <v>3731.2576551688571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2818.3286856875961</v>
      </c>
      <c r="Q138" s="37" t="s">
        <v>12</v>
      </c>
      <c r="R138" s="37">
        <f>+R137*0.75</f>
        <v>1429.0497871547514</v>
      </c>
      <c r="S138" s="37" t="s">
        <v>8</v>
      </c>
      <c r="T138" s="37"/>
      <c r="U138" s="34"/>
      <c r="V138" s="37"/>
      <c r="W138" s="37"/>
      <c r="X138" s="37"/>
    </row>
    <row r="139" spans="1:24" ht="18" x14ac:dyDescent="0.35">
      <c r="A139" s="59" t="s">
        <v>12</v>
      </c>
      <c r="B139" s="68">
        <f>+B138*0.75</f>
        <v>2798.4432413766426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0.74828577887633352</v>
      </c>
      <c r="Q139" s="37" t="s">
        <v>14</v>
      </c>
      <c r="R139" s="37">
        <f>+R131/R138</f>
        <v>1.4757465377732724</v>
      </c>
      <c r="S139" s="37"/>
      <c r="T139" s="37"/>
      <c r="U139" s="34"/>
      <c r="V139" s="37"/>
      <c r="W139" s="37"/>
      <c r="X139" s="37"/>
    </row>
    <row r="140" spans="1:24" ht="18" x14ac:dyDescent="0.35">
      <c r="A140" s="59" t="s">
        <v>14</v>
      </c>
      <c r="B140" s="63">
        <f>+B132/B139</f>
        <v>0.75360301917783912</v>
      </c>
      <c r="C140" s="37"/>
      <c r="D140" s="130" t="s">
        <v>233</v>
      </c>
      <c r="F140" s="16" t="s">
        <v>14</v>
      </c>
      <c r="G140" s="80">
        <f>+(M130+M131)/2</f>
        <v>1.1146747784755557</v>
      </c>
      <c r="H140" s="37"/>
      <c r="I140" s="38"/>
    </row>
    <row r="141" spans="1:24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4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4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  <c r="L143" s="16" t="s">
        <v>83</v>
      </c>
      <c r="O143" s="16">
        <f>+B151/2*B101</f>
        <v>-91.659892194580053</v>
      </c>
      <c r="P143" s="16" t="s">
        <v>5</v>
      </c>
    </row>
    <row r="144" spans="1:24" x14ac:dyDescent="0.25">
      <c r="A144" s="59" t="s">
        <v>1</v>
      </c>
      <c r="B144" s="40">
        <f>+C21-C15-C16-P21/2</f>
        <v>52.295000000000002</v>
      </c>
      <c r="C144" s="39" t="s">
        <v>0</v>
      </c>
      <c r="D144" s="37"/>
      <c r="E144" s="37"/>
      <c r="F144" s="37"/>
      <c r="G144" s="37"/>
      <c r="H144" s="37"/>
      <c r="I144" s="38"/>
      <c r="L144" s="34" t="s">
        <v>63</v>
      </c>
      <c r="M144" s="70">
        <f>+C18*12/2-C43/2+C12+C18*12/2</f>
        <v>63.5</v>
      </c>
      <c r="N144" s="37" t="s">
        <v>0</v>
      </c>
    </row>
    <row r="145" spans="1:16" x14ac:dyDescent="0.25">
      <c r="A145" s="59" t="s">
        <v>63</v>
      </c>
      <c r="B145" s="61">
        <f>+C18*12/2-C43/2+C12</f>
        <v>27.5</v>
      </c>
      <c r="C145" s="39" t="s">
        <v>0</v>
      </c>
      <c r="D145" s="70"/>
      <c r="E145" s="37"/>
      <c r="F145" s="37"/>
      <c r="G145" s="37"/>
      <c r="H145" s="37"/>
      <c r="I145" s="38"/>
      <c r="L145" s="34" t="s">
        <v>64</v>
      </c>
      <c r="M145" s="70">
        <f>MAX(M144/B144,0)</f>
        <v>1.214265226121044</v>
      </c>
      <c r="N145" s="37"/>
    </row>
    <row r="146" spans="1:16" ht="18" x14ac:dyDescent="0.35">
      <c r="A146" s="59" t="s">
        <v>64</v>
      </c>
      <c r="B146" s="61">
        <f>MAX(B145/B144,0)</f>
        <v>0.52586289320202695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  <c r="L146" s="34" t="s">
        <v>57</v>
      </c>
      <c r="M146" s="37">
        <f>7*C7*C14-C7*0.15*C22*C23*C21/12*((C22/2-C43/2/12)/C22)+C7*U26*U27*C21/12*0.15</f>
        <v>567.84915229407261</v>
      </c>
      <c r="N146" s="37" t="s">
        <v>8</v>
      </c>
    </row>
    <row r="147" spans="1:16" ht="18" x14ac:dyDescent="0.35">
      <c r="A147" s="59" t="s">
        <v>57</v>
      </c>
      <c r="B147" s="68">
        <f>10*C7*C14-C7*0.15*C22*C23*C21/12*((C22/2-C43/2/12)/C22)+C7*U26*U27*C21/12*0.15</f>
        <v>951.8491522940725</v>
      </c>
      <c r="C147" s="39" t="s">
        <v>18</v>
      </c>
      <c r="D147" s="70"/>
      <c r="E147" s="37"/>
      <c r="F147" s="70"/>
      <c r="G147" s="37"/>
      <c r="H147" s="37"/>
      <c r="I147" s="38"/>
      <c r="L147" s="34" t="s">
        <v>25</v>
      </c>
      <c r="M147" s="37">
        <f>C7*C14*(2*(M144))+C7*C14*(3*(M144+0.5*C18*12))+C7*C14*(2*(M144+1*C18*12))-C7*0.15*C22*C23*C21/12*((C22/2-C43/2/12)/C22)*(C22/2-C43/2/12)*12/2+C7*U26*U27*C21/12*0.15*(C22*12/2-U26*12/3)</f>
        <v>66852.797892215385</v>
      </c>
      <c r="N147" s="37" t="s">
        <v>26</v>
      </c>
    </row>
    <row r="148" spans="1:16" ht="18" x14ac:dyDescent="0.35">
      <c r="A148" s="59" t="s">
        <v>25</v>
      </c>
      <c r="B148" s="68">
        <f>C7*C14*(3*B145)+C7*C14*(2*(B145+0.5*C18*12))+C7*C14*(3*(B145+1*C18*12))+C7*C14*(2*(B145+1.5*C18*12))-C7*0.15*C22*C23*C21/12*((C22/2-C43/2/12)/C22)*(C22/2-C43/2/12)*12/2+C7*U26*U27*C21/12*0.15*(C22*12/2-U26*12/3)</f>
        <v>77412.797892215385</v>
      </c>
      <c r="C148" s="39" t="s">
        <v>26</v>
      </c>
      <c r="D148" s="70"/>
      <c r="E148" s="37"/>
      <c r="F148" s="70"/>
      <c r="G148" s="37"/>
      <c r="H148" s="37"/>
      <c r="I148" s="38"/>
      <c r="L148" s="34" t="s">
        <v>65</v>
      </c>
      <c r="M148" s="70">
        <f>+M146*B144/M147</f>
        <v>0.44419489319049749</v>
      </c>
      <c r="N148" s="70"/>
    </row>
    <row r="149" spans="1:16" ht="18" x14ac:dyDescent="0.35">
      <c r="A149" s="59" t="s">
        <v>65</v>
      </c>
      <c r="B149" s="61">
        <f>+B147*B144/B148</f>
        <v>0.64300674790910872</v>
      </c>
      <c r="C149" s="39"/>
      <c r="D149" s="70"/>
      <c r="E149" s="70"/>
      <c r="F149" s="70"/>
      <c r="G149" s="37"/>
      <c r="H149" s="37"/>
      <c r="I149" s="38"/>
      <c r="L149" s="34" t="s">
        <v>66</v>
      </c>
      <c r="M149" s="70">
        <f>1/M148</f>
        <v>2.2512640629822367</v>
      </c>
      <c r="N149" s="70"/>
    </row>
    <row r="150" spans="1:16" ht="18" x14ac:dyDescent="0.35">
      <c r="A150" s="59" t="s">
        <v>415</v>
      </c>
      <c r="B150" s="61">
        <f>1/B149</f>
        <v>1.5551936324956788</v>
      </c>
      <c r="C150" s="39"/>
      <c r="D150" s="70"/>
      <c r="E150" s="70"/>
      <c r="F150" s="70"/>
      <c r="G150" s="37"/>
      <c r="H150" s="37"/>
      <c r="I150" s="38"/>
      <c r="L150" s="34" t="s">
        <v>6</v>
      </c>
      <c r="M150" s="70">
        <f>+MIN(1/M145*(3.5-2.5*M149)*(1.9+0.1*M148),10)</f>
        <v>-3.4078519235602731</v>
      </c>
      <c r="N150" s="70"/>
    </row>
    <row r="151" spans="1:16" ht="18" x14ac:dyDescent="0.35">
      <c r="A151" s="59" t="s">
        <v>6</v>
      </c>
      <c r="B151" s="61">
        <f>+MIN(1/B146*(3.5-2.5*B150)*(1.9+0.1*B149),10)</f>
        <v>-1.4492701471018126</v>
      </c>
      <c r="C151" s="39"/>
      <c r="D151" s="70"/>
      <c r="E151" s="70"/>
      <c r="F151" s="37"/>
      <c r="G151" s="37"/>
      <c r="H151" s="37"/>
      <c r="I151" s="38"/>
      <c r="L151" s="34" t="s">
        <v>12</v>
      </c>
      <c r="M151" s="37">
        <f>0.75*M150*(C10*1000)^0.5/1000*C23*12*B144</f>
        <v>-2361.95151720473</v>
      </c>
      <c r="N151" s="37" t="s">
        <v>8</v>
      </c>
    </row>
    <row r="152" spans="1:16" ht="18" x14ac:dyDescent="0.35">
      <c r="A152" s="59" t="s">
        <v>12</v>
      </c>
      <c r="B152" s="68">
        <f>0.75*B151*(C10*1000)^0.5/1000*C23*12*B144</f>
        <v>-1004.4761038826005</v>
      </c>
      <c r="C152" s="39" t="s">
        <v>18</v>
      </c>
      <c r="D152" s="37"/>
      <c r="E152" s="37"/>
      <c r="F152" s="37"/>
      <c r="G152" s="37"/>
      <c r="H152" s="37"/>
      <c r="I152" s="38"/>
      <c r="L152" s="34" t="s">
        <v>14</v>
      </c>
      <c r="M152" s="37">
        <f>+M146/M151</f>
        <v>-0.24041524483368656</v>
      </c>
      <c r="N152" s="37"/>
    </row>
    <row r="153" spans="1:16" ht="18" x14ac:dyDescent="0.35">
      <c r="A153" s="59" t="s">
        <v>14</v>
      </c>
      <c r="B153" s="63">
        <f>+B147/B152</f>
        <v>-0.94760756240481081</v>
      </c>
      <c r="C153" s="37"/>
      <c r="D153" s="130" t="s">
        <v>280</v>
      </c>
      <c r="F153" s="16" t="s">
        <v>14</v>
      </c>
      <c r="G153" s="80">
        <f>+IF(B145&gt;0,B153,M152)</f>
        <v>-0.94760756240481081</v>
      </c>
      <c r="H153" s="37"/>
      <c r="I153" s="38"/>
    </row>
    <row r="154" spans="1:16" x14ac:dyDescent="0.25">
      <c r="A154" s="167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  <c r="L156" s="16" t="s">
        <v>83</v>
      </c>
      <c r="O156" s="16">
        <f>+B164/2*B112</f>
        <v>-108.11149907718364</v>
      </c>
      <c r="P156" s="16" t="s">
        <v>5</v>
      </c>
    </row>
    <row r="157" spans="1:16" x14ac:dyDescent="0.25">
      <c r="A157" s="59" t="s">
        <v>1</v>
      </c>
      <c r="B157" s="40">
        <f>+C21-C15-C16-P21-L21/2</f>
        <v>50.885000000000005</v>
      </c>
      <c r="C157" s="39" t="s">
        <v>0</v>
      </c>
      <c r="D157" s="37"/>
      <c r="E157" s="37"/>
      <c r="F157" s="37"/>
      <c r="G157" s="37"/>
      <c r="H157" s="37"/>
      <c r="I157" s="38"/>
      <c r="L157" s="34" t="s">
        <v>63</v>
      </c>
      <c r="M157" s="70">
        <f>+C18*12-C43/2+C12+C18*12</f>
        <v>135.5</v>
      </c>
      <c r="N157" s="37" t="s">
        <v>0</v>
      </c>
    </row>
    <row r="158" spans="1:16" x14ac:dyDescent="0.25">
      <c r="A158" s="59" t="s">
        <v>63</v>
      </c>
      <c r="B158" s="61">
        <f>+C18*12*0.866-C43/2+C12</f>
        <v>53.851999999999997</v>
      </c>
      <c r="C158" s="39" t="s">
        <v>0</v>
      </c>
      <c r="D158" s="70"/>
      <c r="E158" s="37"/>
      <c r="F158" s="37"/>
      <c r="G158" s="37"/>
      <c r="H158" s="37"/>
      <c r="I158" s="38"/>
      <c r="L158" s="34" t="s">
        <v>64</v>
      </c>
      <c r="M158" s="70">
        <f>MAX(M157/B157,0)</f>
        <v>2.662867249680652</v>
      </c>
      <c r="N158" s="37"/>
    </row>
    <row r="159" spans="1:16" ht="18" x14ac:dyDescent="0.35">
      <c r="A159" s="59" t="s">
        <v>64</v>
      </c>
      <c r="B159" s="61">
        <f>MAX(B158/B157,0)</f>
        <v>1.0583079492974352</v>
      </c>
      <c r="C159" s="39"/>
      <c r="D159" s="70" t="str">
        <f>+IF(B159&lt;1,"OK, this limit state should be checked","Limit state not applicable")</f>
        <v>Limit state not applicable</v>
      </c>
      <c r="E159" s="37"/>
      <c r="F159" s="37"/>
      <c r="G159" s="37"/>
      <c r="H159" s="37"/>
      <c r="I159" s="38"/>
      <c r="L159" s="34" t="s">
        <v>57</v>
      </c>
      <c r="M159" s="37">
        <f>4*C7*C14-C7*0.15*C22*C23*C21/12*((C23/2-C43/2/12)/C23)</f>
        <v>160.93471333333338</v>
      </c>
      <c r="N159" s="37" t="s">
        <v>8</v>
      </c>
    </row>
    <row r="160" spans="1:16" ht="18" x14ac:dyDescent="0.35">
      <c r="A160" s="59" t="s">
        <v>57</v>
      </c>
      <c r="B160" s="68">
        <f>9*C7*C14-C7*0.15*C22*C23*C21/12*((C23/2-C43/2/12)/C23)+C7*U26*U27*C21/12*0.15</f>
        <v>827.6708322940724</v>
      </c>
      <c r="C160" s="39" t="s">
        <v>18</v>
      </c>
      <c r="D160" s="70"/>
      <c r="E160" s="37"/>
      <c r="F160" s="70"/>
      <c r="G160" s="37"/>
      <c r="H160" s="37"/>
      <c r="I160" s="38"/>
      <c r="L160" s="34" t="s">
        <v>25</v>
      </c>
      <c r="M160" s="37">
        <f>C7*C14*(4*(M157))-C7*0.15*C22*C23*C21/12*((C23/2-C43/2/12)/C23)*(C23/2-C43/2/12)*12/2</f>
        <v>46872.01299409334</v>
      </c>
      <c r="N160" s="37" t="s">
        <v>26</v>
      </c>
    </row>
    <row r="161" spans="1:32" ht="18" x14ac:dyDescent="0.35">
      <c r="A161" s="59" t="s">
        <v>25</v>
      </c>
      <c r="B161" s="68">
        <f>C7*C14*(5*B158)+C7*C14*(4*(B158+0.866*C18*12))-C7*0.15*C22*C23*C21/12*((C23/2-C43/2/12)/C23)*(C23/2-C43/2/12)*12/2+C7*U26*U27*C21/12*0.15*(C23*12/2-U27*12/3)</f>
        <v>74539.346065508129</v>
      </c>
      <c r="C161" s="39" t="s">
        <v>26</v>
      </c>
      <c r="D161" s="70"/>
      <c r="E161" s="37"/>
      <c r="F161" s="70"/>
      <c r="G161" s="37"/>
      <c r="H161" s="37"/>
      <c r="I161" s="38"/>
      <c r="L161" s="34" t="s">
        <v>65</v>
      </c>
      <c r="M161" s="70">
        <f>+M159*B157/M160</f>
        <v>0.1747132748277451</v>
      </c>
      <c r="N161" s="70"/>
    </row>
    <row r="162" spans="1:32" ht="18" x14ac:dyDescent="0.35">
      <c r="A162" s="59" t="s">
        <v>65</v>
      </c>
      <c r="B162" s="61">
        <f>+B160*B157/B161</f>
        <v>0.56501743742520416</v>
      </c>
      <c r="C162" s="39"/>
      <c r="D162" s="70"/>
      <c r="E162" s="70"/>
      <c r="F162" s="70"/>
      <c r="G162" s="37"/>
      <c r="H162" s="37"/>
      <c r="I162" s="38"/>
      <c r="L162" s="34" t="s">
        <v>66</v>
      </c>
      <c r="M162" s="70">
        <f>1/M161</f>
        <v>5.7236635337865946</v>
      </c>
      <c r="N162" s="70"/>
    </row>
    <row r="163" spans="1:32" ht="18" x14ac:dyDescent="0.35">
      <c r="A163" s="59" t="s">
        <v>415</v>
      </c>
      <c r="B163" s="61">
        <f>1/B162</f>
        <v>1.7698568818637175</v>
      </c>
      <c r="C163" s="39"/>
      <c r="D163" s="70"/>
      <c r="E163" s="70"/>
      <c r="F163" s="70"/>
      <c r="G163" s="37"/>
      <c r="H163" s="37"/>
      <c r="I163" s="38"/>
      <c r="L163" s="34" t="s">
        <v>6</v>
      </c>
      <c r="M163" s="70">
        <f>+MIN(1/M158*(3.5-2.5*M162)*(1.9+0.1*M161),10)</f>
        <v>-7.7834342443402829</v>
      </c>
      <c r="N163" s="70"/>
    </row>
    <row r="164" spans="1:32" ht="18" x14ac:dyDescent="0.35">
      <c r="A164" s="59" t="s">
        <v>6</v>
      </c>
      <c r="B164" s="61">
        <f>+MIN(1/B159*(3.5-2.5*B163)*(1.9+0.1*B162),10)</f>
        <v>-1.7093928916954608</v>
      </c>
      <c r="C164" s="39"/>
      <c r="D164" s="70"/>
      <c r="E164" s="70"/>
      <c r="F164" s="37"/>
      <c r="G164" s="37"/>
      <c r="H164" s="37"/>
      <c r="I164" s="38"/>
      <c r="L164" s="34" t="s">
        <v>12</v>
      </c>
      <c r="M164" s="37">
        <f>0.75*M163*(C10*1000)^0.5/1000*C22*12*B157</f>
        <v>-5974.1953388916982</v>
      </c>
      <c r="N164" s="37" t="s">
        <v>8</v>
      </c>
    </row>
    <row r="165" spans="1:32" ht="18" x14ac:dyDescent="0.35">
      <c r="A165" s="59" t="s">
        <v>12</v>
      </c>
      <c r="B165" s="68">
        <f>0.75*B164*(C10*1000)^0.5/1000*C22*12*B157</f>
        <v>-1312.0489908843838</v>
      </c>
      <c r="C165" s="39" t="s">
        <v>18</v>
      </c>
      <c r="D165" s="37"/>
      <c r="E165" s="37"/>
      <c r="F165" s="37"/>
      <c r="G165" s="37"/>
      <c r="H165" s="37"/>
      <c r="I165" s="38"/>
      <c r="L165" s="34" t="s">
        <v>14</v>
      </c>
      <c r="M165" s="37">
        <f>+M159/M164</f>
        <v>-2.6938307873138469E-2</v>
      </c>
      <c r="N165" s="37"/>
    </row>
    <row r="166" spans="1:32" ht="18" x14ac:dyDescent="0.35">
      <c r="A166" s="59" t="s">
        <v>14</v>
      </c>
      <c r="B166" s="63">
        <f>+B160/B165</f>
        <v>-0.6308231156339541</v>
      </c>
      <c r="C166" s="37"/>
      <c r="D166" s="130" t="s">
        <v>280</v>
      </c>
      <c r="F166" s="16" t="s">
        <v>14</v>
      </c>
      <c r="G166" s="80">
        <f>+IF(B158&gt;0,B166,M165)</f>
        <v>-0.6308231156339541</v>
      </c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3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52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26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+C23*C22*C21/12/27-2*U26*U27*C21/12/27</f>
        <v>109.82098797508053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72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11761.776000000002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7.9019409993864844</v>
      </c>
      <c r="AF172" s="16" t="s">
        <v>5</v>
      </c>
    </row>
    <row r="173" spans="1:32" ht="18.75" x14ac:dyDescent="0.35">
      <c r="A173" s="34"/>
      <c r="B173" s="40">
        <f>+C66</f>
        <v>18</v>
      </c>
      <c r="C173" s="39" t="s">
        <v>70</v>
      </c>
      <c r="D173" s="72" t="str">
        <f>"#"&amp;+C24</f>
        <v>#11</v>
      </c>
      <c r="E173" s="37" t="s">
        <v>71</v>
      </c>
      <c r="F173" s="37" t="s">
        <v>72</v>
      </c>
      <c r="G173" s="43">
        <f>+C23-0.5</f>
        <v>22.783999999999999</v>
      </c>
      <c r="H173" s="39" t="s">
        <v>73</v>
      </c>
      <c r="I173" s="38"/>
      <c r="Q173" s="16" t="s">
        <v>7</v>
      </c>
      <c r="R173" s="16">
        <f>+R172*T171/1000</f>
        <v>2975.5201190963685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1.7281312499999999</v>
      </c>
      <c r="H174" s="39" t="s">
        <v>73</v>
      </c>
      <c r="I174" s="38"/>
      <c r="Q174" s="16" t="s">
        <v>12</v>
      </c>
      <c r="R174" s="16">
        <f>+R173*0.75</f>
        <v>2231.6400893222763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2178.9705624120002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92.940859999999986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4.1646885823880798E-2</v>
      </c>
    </row>
    <row r="177" spans="1:32" x14ac:dyDescent="0.25">
      <c r="A177" s="34"/>
      <c r="B177" s="40">
        <f>+C84</f>
        <v>17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26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2348.395044734375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52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26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4527.3656071463756</v>
      </c>
      <c r="D181" s="39" t="s">
        <v>78</v>
      </c>
      <c r="E181" s="37" t="s">
        <v>79</v>
      </c>
      <c r="F181" s="80">
        <f>+C181/2000</f>
        <v>2.2636828035731877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226.18800000000002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19249.775999999998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9.1585928064825293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4869.8509286436338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3652.3881964827251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176.30086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4.8270022384197531E-2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52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26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86.546999999999997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4500.4439999999995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23.997124505937641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1138.5322817631056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853.89921132232917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107.997715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0.12647595122234292</v>
      </c>
      <c r="T199" s="16" t="s">
        <v>145</v>
      </c>
      <c r="V199" s="16">
        <f>+(C19*C19+C19*T170+3.1415*T170^2/4/4)/144</f>
        <v>16.130875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52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4598.1519999999991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24.176541880282866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581.62533390634201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436.21900042975653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111.16741439990641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0.25484312762714578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6" orientation="portrait" r:id="rId1"/>
  <headerFooter>
    <oddHeader>&amp;R"CRSI-PILECAP" Program
Version 1.0</oddHeader>
    <oddFooter>&amp;C&amp;P of &amp;N&amp;R&amp;D  &amp;T</oddFooter>
  </headerFooter>
  <rowBreaks count="5" manualBreakCount="5">
    <brk id="44" max="37" man="1"/>
    <brk id="85" max="37" man="1"/>
    <brk id="126" max="37" man="1"/>
    <brk id="167" max="37" man="1"/>
    <brk id="208" max="37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281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37"/>
      <c r="C6" s="37"/>
      <c r="D6" s="37"/>
      <c r="E6" s="37"/>
      <c r="F6" s="37"/>
      <c r="G6" s="37"/>
      <c r="H6" s="37"/>
      <c r="I6" s="38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21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21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21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20.737575</v>
      </c>
    </row>
    <row r="20" spans="1:21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6" t="s">
        <v>258</v>
      </c>
      <c r="F20" s="43">
        <f>+C22-2*U26</f>
        <v>19.443418013856814</v>
      </c>
      <c r="G20" s="39" t="s">
        <v>394</v>
      </c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21" ht="18" x14ac:dyDescent="0.35">
      <c r="A21" s="34"/>
      <c r="B21" s="36" t="s">
        <v>397</v>
      </c>
      <c r="C21" s="84">
        <v>58</v>
      </c>
      <c r="D21" s="39" t="s">
        <v>0</v>
      </c>
      <c r="E21" s="36" t="s">
        <v>259</v>
      </c>
      <c r="F21" s="63">
        <f>2*S27</f>
        <v>12.67</v>
      </c>
      <c r="G21" s="39" t="s">
        <v>394</v>
      </c>
      <c r="H21" s="37"/>
      <c r="I21" s="38"/>
      <c r="J21" s="16" t="s">
        <v>33</v>
      </c>
      <c r="L21" s="16">
        <f>+IF(C24&lt;9,(C24/8),IF(C24=9,1.128,IF(C24=10,1.27,IF(C24=11,1.41,IF(C24=14,1.693,0)))))</f>
        <v>1.41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21" ht="17.25" x14ac:dyDescent="0.25">
      <c r="A22" s="34"/>
      <c r="B22" s="36" t="s">
        <v>398</v>
      </c>
      <c r="C22" s="121">
        <f>2*C19/12+4*C18</f>
        <v>26.5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1.5614040375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21" x14ac:dyDescent="0.25">
      <c r="A23" s="34"/>
      <c r="B23" s="36" t="s">
        <v>399</v>
      </c>
      <c r="C23" s="122">
        <f>2*C19/12+2*C18*0.866+2*C18</f>
        <v>24.891999999999999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21" x14ac:dyDescent="0.25">
      <c r="A24" s="34"/>
      <c r="B24" s="36" t="s">
        <v>400</v>
      </c>
      <c r="C24" s="81">
        <v>11</v>
      </c>
      <c r="D24" s="39"/>
      <c r="E24" s="37"/>
      <c r="F24" s="37"/>
      <c r="G24" s="37"/>
      <c r="H24" s="37"/>
      <c r="I24" s="38"/>
    </row>
    <row r="25" spans="1:21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21" ht="18" x14ac:dyDescent="0.35">
      <c r="A26" s="34"/>
      <c r="B26" s="36" t="s">
        <v>402</v>
      </c>
      <c r="C26" s="123">
        <f>+C21-C15-C16-P21-0.5*L21</f>
        <v>46.885000000000005</v>
      </c>
      <c r="D26" s="39" t="s">
        <v>0</v>
      </c>
      <c r="E26" s="37"/>
      <c r="F26" s="37"/>
      <c r="G26" s="37"/>
      <c r="H26" s="37"/>
      <c r="I26" s="38"/>
      <c r="O26" s="113"/>
      <c r="P26" s="113" t="s">
        <v>256</v>
      </c>
      <c r="Q26" s="113">
        <f>+C22/2</f>
        <v>13.25</v>
      </c>
      <c r="R26" s="113" t="s">
        <v>260</v>
      </c>
      <c r="S26" s="113">
        <f>+Q26</f>
        <v>13.25</v>
      </c>
      <c r="T26" s="113" t="s">
        <v>263</v>
      </c>
      <c r="U26" s="113">
        <f>+U27/0.866*0.5</f>
        <v>3.5282909930715936</v>
      </c>
    </row>
    <row r="27" spans="1:21" ht="18" x14ac:dyDescent="0.35">
      <c r="A27" s="34"/>
      <c r="B27" s="36" t="s">
        <v>403</v>
      </c>
      <c r="C27" s="61">
        <f>+C21-C15-C16-P21/2</f>
        <v>48.295000000000002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  <c r="O27" s="113"/>
      <c r="P27" s="113" t="s">
        <v>257</v>
      </c>
      <c r="Q27" s="113">
        <f>C18-1.732*C19/12</f>
        <v>3.835</v>
      </c>
      <c r="R27" s="113" t="s">
        <v>261</v>
      </c>
      <c r="S27" s="113">
        <f>+Q27+2*C19/12</f>
        <v>6.335</v>
      </c>
      <c r="T27" s="113" t="s">
        <v>262</v>
      </c>
      <c r="U27" s="113">
        <f>+(C23-F21)/2</f>
        <v>6.1109999999999998</v>
      </c>
    </row>
    <row r="28" spans="1:21" ht="18" x14ac:dyDescent="0.35">
      <c r="A28" s="34"/>
      <c r="B28" s="36" t="s">
        <v>404</v>
      </c>
      <c r="C28" s="45">
        <f>+C21-C15-C16-1</f>
        <v>48</v>
      </c>
      <c r="D28" s="39" t="s">
        <v>0</v>
      </c>
      <c r="E28" s="37"/>
      <c r="F28" s="37"/>
      <c r="G28" s="37"/>
      <c r="H28" s="37"/>
      <c r="I28" s="38"/>
      <c r="O28" s="113"/>
      <c r="P28" s="113"/>
      <c r="Q28" s="113"/>
      <c r="R28" s="113"/>
      <c r="S28" s="113"/>
      <c r="T28" s="113"/>
      <c r="U28" s="113"/>
    </row>
    <row r="29" spans="1:21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M29" s="16">
        <f>+IF(C9="Round",C17,L27)</f>
        <v>20</v>
      </c>
    </row>
    <row r="30" spans="1:21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21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21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48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24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68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10253.856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+IF(B131&gt;B129,"NA",IF(B140&lt;1,"OK","NG"))</f>
        <v>NA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9.6300995341546525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+IF(G153&lt;1,"OK","NG")</f>
        <v>OK</v>
      </c>
      <c r="D37" s="37"/>
      <c r="E37" s="37"/>
      <c r="F37" s="37"/>
      <c r="G37" s="36" t="s">
        <v>340</v>
      </c>
      <c r="H37" s="49" t="s">
        <v>227</v>
      </c>
      <c r="I37" s="38"/>
      <c r="J37" s="16" t="s">
        <v>7</v>
      </c>
      <c r="K37" s="16">
        <f>+K36*M35/1000</f>
        <v>2594.0431807506798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+IF(G166&lt;1,"OK","NG")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1945.5323855630099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98.745653888888882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5.0755081036758617E-2</v>
      </c>
    </row>
    <row r="41" spans="1:25" ht="18" x14ac:dyDescent="0.35">
      <c r="A41" s="34"/>
      <c r="B41" s="59" t="s">
        <v>22</v>
      </c>
      <c r="C41" s="60">
        <f>C7*23*C14-C7*C22*C23*C21/12*0.15+C7*2*U26*U27*C21/12*0.15</f>
        <v>2228.8423361200926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23.605308386674874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24</v>
      </c>
      <c r="D43" s="39" t="s">
        <v>0</v>
      </c>
      <c r="E43" s="115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C7*C14*(5*(C18*12+C12-C43/4))+C7*C14*(4*((1+0.866)*C18*12+C12-C43/4))-C7*(C23/2-C43/12/4)*C22*C21/12*0.15*(C23/2-C43/12/4)*12/2+C7*U26*U27*C21/12*0.15*(C23*12/2-U27*12/3)</f>
        <v>88215.46038932426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3328.8852977103493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46.885000000000005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1.3583339378421968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35.995849352818212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47.994465803757613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47.147757414844243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49.698100000000004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49.698100000000004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33.199200000000005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47.994465803757613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1.0645990679736461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19.411874999999998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0.96871108343711088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3.7050000000000001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37.122120479828872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3.7050000000000001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47.994465803757613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3.7050000000000001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40.129303507536733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134.352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30.738018252215269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17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40.129303507536733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134.352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C7*C14*(2*(0.5*C18*12+C12-C43/4))+C7*C14*(3*(1*C18*12+C12-C43/4))+C7*C14*(2*(1.5*C18*12+C12-C43/4))+C7*C14*(3*(2*C18*12+C12-C43/4))-C7*(C22/2-C43/12/4)*C23*C21/12*0.15*(C22/2-C43/12/4)*12/2+C7*U26*U27*C21/12*0.15*(C22*12/2-U26*12/3)</f>
        <v>91428.114781050943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3672.9919163205427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48.295000000000002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18.205874999999999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1.4556888282486575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36.235006312765584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48.313341750354112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45.618731908670782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48.086365600000001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48.086365600000001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31.1846976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48.086365600000001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144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144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30.796875405159184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17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36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48</v>
      </c>
      <c r="C87" s="39" t="s">
        <v>0</v>
      </c>
      <c r="D87" s="37"/>
      <c r="E87" s="37"/>
      <c r="F87" s="37"/>
      <c r="G87" s="70"/>
      <c r="H87" s="37"/>
      <c r="I87" s="38"/>
      <c r="J87" s="16" t="s">
        <v>238</v>
      </c>
      <c r="K87" s="51"/>
      <c r="L87" s="51"/>
      <c r="M87" s="51"/>
      <c r="N87" s="51"/>
      <c r="O87" s="51">
        <f>+C18*12+C12</f>
        <v>75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24</v>
      </c>
      <c r="C88" s="39" t="s">
        <v>0</v>
      </c>
      <c r="D88" s="37"/>
      <c r="E88" s="37"/>
      <c r="F88" s="37"/>
      <c r="G88" s="70"/>
      <c r="H88" s="37"/>
      <c r="I88" s="38"/>
      <c r="J88" s="16" t="s">
        <v>249</v>
      </c>
      <c r="K88" s="51"/>
      <c r="L88" s="51"/>
      <c r="M88" s="51"/>
      <c r="N88" s="51"/>
      <c r="O88" s="51">
        <f>+(1+0.866)*C18*12+C12</f>
        <v>137.35200000000003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+IF(M86&gt;O92,0,IF(M86&gt;O88,6,IF(M86&gt;O90,14,22)))</f>
        <v>22</v>
      </c>
      <c r="F89" s="37"/>
      <c r="G89" s="37"/>
      <c r="H89" s="37"/>
      <c r="I89" s="38"/>
      <c r="J89" s="16" t="s">
        <v>239</v>
      </c>
      <c r="K89" s="51"/>
      <c r="L89" s="51"/>
      <c r="M89" s="51"/>
      <c r="N89" s="51"/>
      <c r="O89" s="51">
        <f>+C18*12*0.5+C12</f>
        <v>39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240</v>
      </c>
      <c r="K90" s="51"/>
      <c r="L90" s="51"/>
      <c r="M90" s="51"/>
      <c r="N90" s="51"/>
      <c r="O90" s="51">
        <f>+C18*12*1+C12</f>
        <v>75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288</v>
      </c>
      <c r="C91" s="39" t="s">
        <v>0</v>
      </c>
      <c r="D91" s="37"/>
      <c r="E91" s="37"/>
      <c r="F91" s="37"/>
      <c r="G91" s="37"/>
      <c r="H91" s="37"/>
      <c r="I91" s="38"/>
      <c r="J91" s="16" t="s">
        <v>241</v>
      </c>
      <c r="K91" s="51"/>
      <c r="L91" s="51"/>
      <c r="M91" s="51"/>
      <c r="N91" s="51"/>
      <c r="O91" s="51">
        <f>+C18*12*1.5+C12</f>
        <v>111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3497.2261099334141</v>
      </c>
      <c r="C92" s="39" t="s">
        <v>18</v>
      </c>
      <c r="D92" s="37" t="s">
        <v>15</v>
      </c>
      <c r="E92" s="37"/>
      <c r="F92" s="37"/>
      <c r="G92" s="37"/>
      <c r="H92" s="37"/>
      <c r="I92" s="38"/>
      <c r="J92" s="16" t="s">
        <v>279</v>
      </c>
      <c r="K92" s="51"/>
      <c r="L92" s="51"/>
      <c r="M92" s="51"/>
      <c r="N92" s="51"/>
      <c r="O92" s="51">
        <f>+C18*12*2+C12</f>
        <v>147</v>
      </c>
      <c r="P92" s="16" t="s">
        <v>0</v>
      </c>
      <c r="Q92" s="16" t="s">
        <v>119</v>
      </c>
    </row>
    <row r="93" spans="1:17" ht="18" x14ac:dyDescent="0.35">
      <c r="A93" s="59" t="s">
        <v>12</v>
      </c>
      <c r="B93" s="68">
        <f>+B92*0.75</f>
        <v>2622.9195824500607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+E89*C7*C14-C7*0.15*C22*C23*C21/12+C7*0.15*(2*M86)/12*(2*M86)/12*C21/12+C7*2*U26*U27*C21/12*0.15</f>
        <v>2142.6023361200928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0.81687686898837164</v>
      </c>
      <c r="C95" s="37"/>
      <c r="D95" s="37"/>
      <c r="E95" s="37"/>
      <c r="F95" s="37"/>
      <c r="G95" s="37"/>
      <c r="H95" s="37"/>
      <c r="I95" s="38"/>
      <c r="L95" s="16" t="s">
        <v>83</v>
      </c>
      <c r="O95" s="16">
        <f>+B90</f>
        <v>252.98221281347034</v>
      </c>
      <c r="P95" s="16" t="s">
        <v>5</v>
      </c>
    </row>
    <row r="96" spans="1:17" x14ac:dyDescent="0.25">
      <c r="A96" s="167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60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48</v>
      </c>
      <c r="C99" s="39" t="s">
        <v>0</v>
      </c>
      <c r="D99" s="37"/>
      <c r="E99" s="37"/>
      <c r="F99" s="37"/>
      <c r="G99" s="37"/>
      <c r="H99" s="37"/>
      <c r="I99" s="38"/>
      <c r="J99" s="16" t="s">
        <v>239</v>
      </c>
      <c r="K99" s="51"/>
      <c r="L99" s="51"/>
      <c r="M99" s="51"/>
      <c r="N99" s="51"/>
      <c r="O99" s="51">
        <f>+C18*12*0.5+C12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+IF(M98&gt;O102,0,IF(M98&gt;O101,3,IF(M98&gt;O100,5,IF(M98&gt;O99,8,10))))</f>
        <v>8</v>
      </c>
      <c r="F100" s="37"/>
      <c r="G100" s="37"/>
      <c r="H100" s="37"/>
      <c r="I100" s="38"/>
      <c r="J100" s="16" t="s">
        <v>240</v>
      </c>
      <c r="K100" s="51"/>
      <c r="L100" s="51"/>
      <c r="M100" s="51"/>
      <c r="N100" s="51"/>
      <c r="O100" s="51">
        <f>+C18*12*1+C12</f>
        <v>75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J101" s="16" t="s">
        <v>241</v>
      </c>
      <c r="K101" s="51"/>
      <c r="L101" s="51"/>
      <c r="M101" s="51"/>
      <c r="N101" s="51"/>
      <c r="O101" s="51">
        <f>+C18*12*1.5+C12</f>
        <v>111</v>
      </c>
      <c r="P101" s="16" t="s">
        <v>0</v>
      </c>
      <c r="Q101" s="16" t="s">
        <v>119</v>
      </c>
    </row>
    <row r="102" spans="1:17" x14ac:dyDescent="0.25">
      <c r="A102" s="59" t="s">
        <v>61</v>
      </c>
      <c r="B102" s="68">
        <f>+M105*12*B99</f>
        <v>14337.792000000001</v>
      </c>
      <c r="C102" s="39" t="s">
        <v>407</v>
      </c>
      <c r="D102" s="37"/>
      <c r="E102" s="37"/>
      <c r="F102" s="37"/>
      <c r="G102" s="37"/>
      <c r="H102" s="37"/>
      <c r="I102" s="38"/>
      <c r="J102" s="16" t="s">
        <v>279</v>
      </c>
      <c r="K102" s="51"/>
      <c r="L102" s="51"/>
      <c r="M102" s="51"/>
      <c r="N102" s="51"/>
      <c r="O102" s="51">
        <f>+C18*12*2+C12</f>
        <v>147</v>
      </c>
      <c r="P102" s="16" t="s">
        <v>0</v>
      </c>
      <c r="Q102" s="16" t="s">
        <v>119</v>
      </c>
    </row>
    <row r="103" spans="1:17" ht="18.75" x14ac:dyDescent="0.35">
      <c r="A103" s="59" t="s">
        <v>7</v>
      </c>
      <c r="B103" s="68">
        <f>+B101*B102/1000</f>
        <v>1813.6031735096365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1360.2023801322273</v>
      </c>
      <c r="C104" s="39" t="s">
        <v>18</v>
      </c>
      <c r="D104" s="37"/>
      <c r="E104" s="37"/>
      <c r="F104" s="37"/>
      <c r="G104" s="37"/>
      <c r="H104" s="37"/>
      <c r="I104" s="38"/>
      <c r="L104" s="16" t="s">
        <v>268</v>
      </c>
      <c r="M104" s="16">
        <f>+C23</f>
        <v>24.891999999999999</v>
      </c>
    </row>
    <row r="105" spans="1:17" ht="18" x14ac:dyDescent="0.35">
      <c r="A105" s="59" t="s">
        <v>57</v>
      </c>
      <c r="B105" s="68">
        <f>+E100*C14*C7-C7*0.15*C22*C23*C21/12*((C22/2-M98/12)/C22)+C7*U26*U27*C21/12*0.15</f>
        <v>810.79476806004629</v>
      </c>
      <c r="C105" s="39" t="s">
        <v>18</v>
      </c>
      <c r="D105" s="37" t="s">
        <v>131</v>
      </c>
      <c r="E105" s="37"/>
      <c r="F105" s="37"/>
      <c r="G105" s="37"/>
      <c r="H105" s="37"/>
      <c r="I105" s="38"/>
      <c r="L105" s="16" t="s">
        <v>267</v>
      </c>
      <c r="M105" s="16">
        <f>+IF(M98/12&lt;F20/2,C23,C23-2*(M98/12-F20/2)/0.5*0.866)</f>
        <v>24.891999999999999</v>
      </c>
    </row>
    <row r="106" spans="1:17" ht="18" x14ac:dyDescent="0.35">
      <c r="A106" s="59" t="s">
        <v>14</v>
      </c>
      <c r="B106" s="63">
        <f>+B105/B104</f>
        <v>0.59608392096860452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60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48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250</v>
      </c>
      <c r="K110" s="51"/>
      <c r="L110" s="51"/>
      <c r="M110" s="51"/>
      <c r="N110" s="51"/>
      <c r="O110" s="51">
        <f>+C18*12+C12</f>
        <v>75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+IF(M109&gt;O111,0,IF(M109&gt;O110,4,9))</f>
        <v>9</v>
      </c>
      <c r="F111" s="37"/>
      <c r="G111" s="37"/>
      <c r="H111" s="37"/>
      <c r="I111" s="38"/>
      <c r="J111" s="16" t="s">
        <v>251</v>
      </c>
      <c r="K111" s="51"/>
      <c r="L111" s="51"/>
      <c r="M111" s="51"/>
      <c r="N111" s="51"/>
      <c r="O111" s="51">
        <f>+(1+0.866)*C18*12+C12</f>
        <v>137.35200000000003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K112" s="51"/>
      <c r="L112" s="51"/>
      <c r="M112" s="51"/>
      <c r="N112" s="51"/>
      <c r="O112" s="51"/>
    </row>
    <row r="113" spans="1:16" x14ac:dyDescent="0.25">
      <c r="A113" s="59" t="s">
        <v>61</v>
      </c>
      <c r="B113" s="68">
        <f>+M116*12*B110</f>
        <v>15264</v>
      </c>
      <c r="C113" s="157" t="s">
        <v>0</v>
      </c>
      <c r="D113" s="37"/>
      <c r="E113" s="37"/>
      <c r="F113" s="37"/>
      <c r="G113" s="37"/>
      <c r="H113" s="37"/>
      <c r="I113" s="38"/>
    </row>
    <row r="114" spans="1:16" ht="18.75" x14ac:dyDescent="0.35">
      <c r="A114" s="59" t="s">
        <v>7</v>
      </c>
      <c r="B114" s="68">
        <f>+B112*B113/1000</f>
        <v>1930.7602481924055</v>
      </c>
      <c r="C114" s="39" t="s">
        <v>18</v>
      </c>
      <c r="D114" s="37" t="s">
        <v>62</v>
      </c>
      <c r="E114" s="37"/>
      <c r="F114" s="37"/>
      <c r="G114" s="37"/>
      <c r="H114" s="37"/>
      <c r="I114" s="38"/>
      <c r="L114" s="16" t="s">
        <v>83</v>
      </c>
      <c r="O114" s="16">
        <f>+B112</f>
        <v>126.49110640673517</v>
      </c>
      <c r="P114" s="16" t="s">
        <v>5</v>
      </c>
    </row>
    <row r="115" spans="1:16" ht="18" x14ac:dyDescent="0.35">
      <c r="A115" s="59" t="s">
        <v>12</v>
      </c>
      <c r="B115" s="68">
        <f>+B114*0.75</f>
        <v>1448.070186144304</v>
      </c>
      <c r="C115" s="39" t="s">
        <v>18</v>
      </c>
      <c r="D115" s="37"/>
      <c r="E115" s="37"/>
      <c r="F115" s="37"/>
      <c r="G115" s="37"/>
      <c r="H115" s="37"/>
      <c r="I115" s="38"/>
      <c r="L115" s="16" t="s">
        <v>268</v>
      </c>
      <c r="M115" s="16">
        <f>+C22</f>
        <v>26.5</v>
      </c>
    </row>
    <row r="116" spans="1:16" ht="18" x14ac:dyDescent="0.35">
      <c r="A116" s="59" t="s">
        <v>57</v>
      </c>
      <c r="B116" s="68">
        <f>+E111*C14*C7-C7*0.15*C22*C23*C21/12*((C23/2-M109/12)/C23)+C7*U26*U27*C21/12*0.15</f>
        <v>948.12116806004633</v>
      </c>
      <c r="C116" s="39" t="s">
        <v>18</v>
      </c>
      <c r="D116" s="37" t="s">
        <v>131</v>
      </c>
      <c r="E116" s="37"/>
      <c r="F116" s="37"/>
      <c r="G116" s="37"/>
      <c r="H116" s="37"/>
      <c r="I116" s="38"/>
      <c r="L116" s="16" t="s">
        <v>267</v>
      </c>
      <c r="M116" s="16">
        <f>+IF(M109/12&lt;F21/2,C22,C22-2*(M109/12-F21/2)/0.866*0.5)</f>
        <v>26.5</v>
      </c>
    </row>
    <row r="117" spans="1:16" ht="18" x14ac:dyDescent="0.35">
      <c r="A117" s="59" t="s">
        <v>14</v>
      </c>
      <c r="B117" s="63">
        <f>+B116/B115</f>
        <v>0.65474807584054739</v>
      </c>
      <c r="C117" s="157"/>
      <c r="D117" s="37"/>
      <c r="E117" s="37"/>
      <c r="F117" s="37"/>
      <c r="G117" s="37"/>
      <c r="H117" s="37"/>
      <c r="I117" s="38"/>
    </row>
    <row r="118" spans="1:16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16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16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16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16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16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16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16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16" x14ac:dyDescent="0.2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</row>
    <row r="127" spans="1:16" ht="18.75" x14ac:dyDescent="0.3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</row>
    <row r="128" spans="1:16" x14ac:dyDescent="0.25">
      <c r="A128" s="59" t="s">
        <v>1</v>
      </c>
      <c r="B128" s="43">
        <f>+B87</f>
        <v>48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</row>
    <row r="129" spans="1:24" x14ac:dyDescent="0.25">
      <c r="A129" s="59" t="s">
        <v>53</v>
      </c>
      <c r="B129" s="63">
        <f>+B128/2</f>
        <v>24</v>
      </c>
      <c r="C129" s="39" t="s">
        <v>0</v>
      </c>
      <c r="F129" s="37"/>
      <c r="G129" s="37"/>
      <c r="H129" s="37"/>
      <c r="I129" s="38"/>
    </row>
    <row r="130" spans="1:24" ht="18" x14ac:dyDescent="0.35">
      <c r="A130" s="59"/>
      <c r="B130" s="37"/>
      <c r="C130" s="37"/>
      <c r="D130" s="59" t="s">
        <v>453</v>
      </c>
      <c r="E130" s="72">
        <v>22</v>
      </c>
      <c r="G130" s="37"/>
      <c r="H130" s="37"/>
      <c r="I130" s="38"/>
      <c r="K130" s="16">
        <v>1</v>
      </c>
      <c r="L130" s="37" t="s">
        <v>14</v>
      </c>
      <c r="M130" s="37">
        <f>+IF(B131&gt;0,B140,V139)</f>
        <v>2.1071523386746733</v>
      </c>
      <c r="Q130" s="37" t="s">
        <v>16</v>
      </c>
      <c r="R130" s="16">
        <f>+C18*12-C43/2+C12</f>
        <v>63</v>
      </c>
      <c r="S130" s="16" t="s">
        <v>0</v>
      </c>
      <c r="U130" s="34" t="s">
        <v>16</v>
      </c>
      <c r="V130" s="37">
        <f>+C18*12-C43/2+C12+C18*12</f>
        <v>135</v>
      </c>
      <c r="W130" s="37" t="s">
        <v>16</v>
      </c>
      <c r="X130" s="16">
        <f>+C18*12-C43/2+C12+C18*12*0.866</f>
        <v>125.352</v>
      </c>
    </row>
    <row r="131" spans="1:24" ht="18" x14ac:dyDescent="0.35">
      <c r="A131" s="59" t="s">
        <v>452</v>
      </c>
      <c r="B131" s="43">
        <f>+C18*12-C43/2+C12</f>
        <v>63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K131" s="16">
        <v>2</v>
      </c>
      <c r="L131" s="37" t="s">
        <v>14</v>
      </c>
      <c r="M131" s="37">
        <f>+IF(R130&gt;0,R139,X139)</f>
        <v>2.1071523386746733</v>
      </c>
      <c r="Q131" s="37" t="s">
        <v>13</v>
      </c>
      <c r="R131" s="37">
        <f>+C14*E130*C7-C7*0.15*C22*C23*C21/12+C7*0.15*(C43)/12*(C43)/12*C21/12+C7*2*U26*U27*C21/12*0.15</f>
        <v>2105.4823361200924</v>
      </c>
      <c r="S131" s="37" t="s">
        <v>8</v>
      </c>
      <c r="T131" s="37"/>
      <c r="U131" s="34" t="s">
        <v>13</v>
      </c>
      <c r="V131" s="37">
        <f>+C14*(E130-2)*C7-C7*0.15*C22*C23*C21/12+C7*0.15*(C43)/12*(C43)/12*C21/12</f>
        <v>1799.4599200000005</v>
      </c>
      <c r="W131" s="37" t="s">
        <v>13</v>
      </c>
      <c r="X131" s="37">
        <f>+C14*(E130-2)*C7-C7*0.15*C22*C23*C21/12+C7*0.15*(C43)/12*(C43)/12*C21/12</f>
        <v>1799.4599200000005</v>
      </c>
    </row>
    <row r="132" spans="1:24" ht="18.75" x14ac:dyDescent="0.35">
      <c r="A132" s="59" t="s">
        <v>57</v>
      </c>
      <c r="B132" s="68">
        <f>+C14*E130*C7-C7*0.15*C22*C23*C21/12+C7*0.15*(C43)/12*(C43)/12*C21/12+C7*2*U26*U27*C21/12*0.15</f>
        <v>2105.4823361200924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4" t="s">
        <v>3</v>
      </c>
      <c r="V132" s="37">
        <f>4*(C10*1000)^0.5</f>
        <v>252.98221281347034</v>
      </c>
      <c r="W132" s="37" t="s">
        <v>3</v>
      </c>
      <c r="X132" s="37">
        <f>+B133</f>
        <v>252.98221281347034</v>
      </c>
    </row>
    <row r="133" spans="1:24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4</v>
      </c>
      <c r="V133" s="37">
        <f>+V132*8</f>
        <v>2023.8577025077627</v>
      </c>
      <c r="W133" s="37" t="s">
        <v>4</v>
      </c>
      <c r="X133" s="37">
        <f>+X132*8</f>
        <v>2023.8577025077627</v>
      </c>
    </row>
    <row r="134" spans="1:24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288</v>
      </c>
      <c r="S134" s="37" t="s">
        <v>0</v>
      </c>
      <c r="T134" s="37"/>
      <c r="U134" s="34" t="s">
        <v>11</v>
      </c>
      <c r="V134" s="37">
        <f>4*(B128+C43)</f>
        <v>288</v>
      </c>
      <c r="W134" s="37" t="s">
        <v>11</v>
      </c>
      <c r="X134" s="37">
        <f>+B135</f>
        <v>288</v>
      </c>
    </row>
    <row r="135" spans="1:24" ht="18" x14ac:dyDescent="0.35">
      <c r="A135" s="59" t="s">
        <v>11</v>
      </c>
      <c r="B135" s="61">
        <f>4*(B128+C43)</f>
        <v>288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289.12252892968036</v>
      </c>
      <c r="P135" s="16" t="s">
        <v>5</v>
      </c>
      <c r="Q135" s="37" t="s">
        <v>2</v>
      </c>
      <c r="R135" s="37">
        <f>+B136</f>
        <v>96</v>
      </c>
      <c r="S135" s="37" t="s">
        <v>0</v>
      </c>
      <c r="T135" s="37"/>
      <c r="U135" s="34" t="s">
        <v>2</v>
      </c>
      <c r="V135" s="37">
        <f>4*C43</f>
        <v>96</v>
      </c>
      <c r="W135" s="37" t="s">
        <v>2</v>
      </c>
      <c r="X135" s="37">
        <f>+B136</f>
        <v>96</v>
      </c>
    </row>
    <row r="136" spans="1:24" ht="18" x14ac:dyDescent="0.35">
      <c r="A136" s="59" t="s">
        <v>2</v>
      </c>
      <c r="B136" s="61">
        <f>4*C43</f>
        <v>96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4.5714285714285712</v>
      </c>
      <c r="S136" s="37"/>
      <c r="T136" s="37"/>
      <c r="U136" s="34" t="s">
        <v>6</v>
      </c>
      <c r="V136" s="37">
        <f>IF(2*B128/V130*(1+B128/C43)&lt;32,2*B128/V130*(1+B128/C43),32)</f>
        <v>2.1333333333333333</v>
      </c>
      <c r="W136" s="37" t="s">
        <v>6</v>
      </c>
      <c r="X136" s="37">
        <f>IF(2*B128/X130*(1+B128/C43)&lt;32,2*B128/X130*(1+B128/C43),32)</f>
        <v>2.2975301550832854</v>
      </c>
    </row>
    <row r="137" spans="1:24" ht="18" x14ac:dyDescent="0.35">
      <c r="A137" s="59" t="s">
        <v>6</v>
      </c>
      <c r="B137" s="61">
        <f>IF(2*B128/B131*(1+B128/C43)&lt;32,2*B128/B131*(1+B128/C43),32)</f>
        <v>4.5714285714285712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4.5714285714285712</v>
      </c>
      <c r="Q137" s="37" t="s">
        <v>7</v>
      </c>
      <c r="R137" s="37">
        <f>+R136*(C10*1000)^0.5*R135*B128/1000</f>
        <v>1332.2766133079672</v>
      </c>
      <c r="S137" s="37" t="s">
        <v>8</v>
      </c>
      <c r="T137" s="37"/>
      <c r="U137" s="34" t="s">
        <v>7</v>
      </c>
      <c r="V137" s="37">
        <f>+V136*(C10*1000)^0.5*V135*B128/1000</f>
        <v>621.72908621038471</v>
      </c>
      <c r="W137" s="37" t="s">
        <v>7</v>
      </c>
      <c r="X137" s="37">
        <f>+X136*(C10*1000)^0.5*X135*B128/1000</f>
        <v>669.58187055971916</v>
      </c>
    </row>
    <row r="138" spans="1:24" ht="18.75" x14ac:dyDescent="0.35">
      <c r="A138" s="59" t="s">
        <v>7</v>
      </c>
      <c r="B138" s="68">
        <f>+B137*(C10*1000)^0.5*B136*B128/1000</f>
        <v>1332.2766133079672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1332.2766133079672</v>
      </c>
      <c r="Q138" s="37" t="s">
        <v>12</v>
      </c>
      <c r="R138" s="37">
        <f>+R137*0.75</f>
        <v>999.20745998097539</v>
      </c>
      <c r="S138" s="37" t="s">
        <v>8</v>
      </c>
      <c r="T138" s="37"/>
      <c r="U138" s="34" t="s">
        <v>12</v>
      </c>
      <c r="V138" s="37">
        <f>+V137*0.75</f>
        <v>466.29681465778856</v>
      </c>
      <c r="W138" s="37" t="s">
        <v>12</v>
      </c>
      <c r="X138" s="37">
        <f>+X137*0.75</f>
        <v>502.18640291978937</v>
      </c>
    </row>
    <row r="139" spans="1:24" ht="18" x14ac:dyDescent="0.35">
      <c r="A139" s="59" t="s">
        <v>12</v>
      </c>
      <c r="B139" s="68">
        <f>+B138*0.75</f>
        <v>999.20745998097539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1.580364254006005</v>
      </c>
      <c r="Q139" s="37" t="s">
        <v>14</v>
      </c>
      <c r="R139" s="37">
        <f>+R131/R138</f>
        <v>2.1071523386746733</v>
      </c>
      <c r="S139" s="37"/>
      <c r="T139" s="37"/>
      <c r="U139" s="34" t="s">
        <v>14</v>
      </c>
      <c r="V139" s="37">
        <f>+V131/V138</f>
        <v>3.8590439896541207</v>
      </c>
      <c r="W139" s="37" t="s">
        <v>14</v>
      </c>
      <c r="X139" s="37">
        <f>+X131/X138</f>
        <v>3.5832509791935072</v>
      </c>
    </row>
    <row r="140" spans="1:24" ht="18" x14ac:dyDescent="0.35">
      <c r="A140" s="59" t="s">
        <v>14</v>
      </c>
      <c r="B140" s="63">
        <f>+B132/B139</f>
        <v>2.1071523386746733</v>
      </c>
      <c r="C140" s="37"/>
      <c r="D140" s="130"/>
      <c r="H140" s="37"/>
      <c r="I140" s="38"/>
    </row>
    <row r="141" spans="1:24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4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4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  <c r="L143" s="16" t="s">
        <v>83</v>
      </c>
      <c r="O143" s="16">
        <f>+B151/2*B101</f>
        <v>-259.67292381236018</v>
      </c>
      <c r="P143" s="16" t="s">
        <v>5</v>
      </c>
    </row>
    <row r="144" spans="1:24" x14ac:dyDescent="0.25">
      <c r="A144" s="59" t="s">
        <v>1</v>
      </c>
      <c r="B144" s="40">
        <f>+C21-C15-C16-P21/2</f>
        <v>48.295000000000002</v>
      </c>
      <c r="C144" s="39" t="s">
        <v>0</v>
      </c>
      <c r="D144" s="37"/>
      <c r="E144" s="37"/>
      <c r="F144" s="37"/>
      <c r="G144" s="37"/>
      <c r="H144" s="37"/>
      <c r="I144" s="38"/>
      <c r="L144" s="34" t="s">
        <v>63</v>
      </c>
      <c r="M144" s="70">
        <f>+C18*12/2-C43/2+C12+C18*12/2</f>
        <v>63</v>
      </c>
      <c r="N144" s="37" t="s">
        <v>0</v>
      </c>
    </row>
    <row r="145" spans="1:16" x14ac:dyDescent="0.25">
      <c r="A145" s="59" t="s">
        <v>63</v>
      </c>
      <c r="B145" s="61">
        <f>+C18*12/2-C43/2+C12</f>
        <v>27</v>
      </c>
      <c r="C145" s="39" t="s">
        <v>0</v>
      </c>
      <c r="D145" s="70"/>
      <c r="E145" s="37"/>
      <c r="F145" s="37"/>
      <c r="G145" s="37"/>
      <c r="H145" s="37"/>
      <c r="I145" s="38"/>
      <c r="L145" s="34" t="s">
        <v>64</v>
      </c>
      <c r="M145" s="70">
        <f>MAX(M144/B144,0)</f>
        <v>1.3044828657210892</v>
      </c>
      <c r="N145" s="37"/>
    </row>
    <row r="146" spans="1:16" ht="18" x14ac:dyDescent="0.35">
      <c r="A146" s="59" t="s">
        <v>64</v>
      </c>
      <c r="B146" s="61">
        <f>MAX(B145/B144,0)</f>
        <v>0.55906408530903817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  <c r="L146" s="34" t="s">
        <v>57</v>
      </c>
      <c r="M146" s="37">
        <f>8*C7*C14-C7*0.15*C22*C23*C21/12*((C22/2-C43/2/12)/C22)+C7*U26*U27*C21/12*0.15</f>
        <v>695.29588806004631</v>
      </c>
      <c r="N146" s="37" t="s">
        <v>8</v>
      </c>
    </row>
    <row r="147" spans="1:16" ht="18" x14ac:dyDescent="0.35">
      <c r="A147" s="59" t="s">
        <v>57</v>
      </c>
      <c r="B147" s="68">
        <f>10*C7*C14-C7*0.15*C22*C23*C21/12*((C22/2-C43/2/12)/C22)+C7*U26*U27*C21/12*0.15</f>
        <v>951.29588806004631</v>
      </c>
      <c r="C147" s="39" t="s">
        <v>18</v>
      </c>
      <c r="D147" s="70"/>
      <c r="E147" s="37"/>
      <c r="F147" s="70"/>
      <c r="G147" s="37"/>
      <c r="H147" s="37"/>
      <c r="I147" s="38"/>
      <c r="L147" s="34" t="s">
        <v>25</v>
      </c>
      <c r="M147" s="37">
        <f>C7*C14*(3*(M144))+C7*C14*(2*(M144+0.5*C18*12))+C7*C14*(3*(M144+1*C18*12))-C7*0.15*C22*C23*C21/12*((C22/2-C43/2/12)/C22)*(C22/2-C43/2/12)*12/2+C7*U26*U27*C21/12*0.15*(C22*12/2-U26*12/3)</f>
        <v>79001.718781050949</v>
      </c>
      <c r="N147" s="37" t="s">
        <v>26</v>
      </c>
    </row>
    <row r="148" spans="1:16" ht="18" x14ac:dyDescent="0.35">
      <c r="A148" s="59" t="s">
        <v>25</v>
      </c>
      <c r="B148" s="68">
        <f>C7*C14*(2*B145)+C7*C14*(3*(B145+0.5*C18*12))+C7*C14*(2*(B145+1*C18*12))+C7*C14*(3*(B145+1.5*C18*12))-C7*0.15*C22*C23*C21/12*((C22/2-C43/2/12)/C22)*(C22/2-C43/2/12)*12/2+C7*U26*U27*C21/12*0.15*(C22*12/2-U26*12/3)</f>
        <v>85913.718781050949</v>
      </c>
      <c r="C148" s="39" t="s">
        <v>26</v>
      </c>
      <c r="D148" s="70"/>
      <c r="E148" s="37"/>
      <c r="F148" s="70"/>
      <c r="G148" s="37"/>
      <c r="H148" s="37"/>
      <c r="I148" s="38"/>
      <c r="L148" s="34" t="s">
        <v>65</v>
      </c>
      <c r="M148" s="70">
        <f>+M146*B144/M147</f>
        <v>0.42504537156872779</v>
      </c>
      <c r="N148" s="70"/>
    </row>
    <row r="149" spans="1:16" ht="18" x14ac:dyDescent="0.35">
      <c r="A149" s="59" t="s">
        <v>65</v>
      </c>
      <c r="B149" s="61">
        <f>+B147*B144/B148</f>
        <v>0.53475551478506189</v>
      </c>
      <c r="C149" s="39"/>
      <c r="D149" s="70"/>
      <c r="E149" s="70"/>
      <c r="F149" s="70"/>
      <c r="G149" s="37"/>
      <c r="H149" s="37"/>
      <c r="I149" s="38"/>
      <c r="L149" s="34" t="s">
        <v>66</v>
      </c>
      <c r="M149" s="70">
        <f>1/M148</f>
        <v>2.3526900112081441</v>
      </c>
      <c r="N149" s="70"/>
    </row>
    <row r="150" spans="1:16" ht="18" x14ac:dyDescent="0.35">
      <c r="A150" s="59" t="s">
        <v>415</v>
      </c>
      <c r="B150" s="61">
        <f>1/B149</f>
        <v>1.8700134404447182</v>
      </c>
      <c r="C150" s="39"/>
      <c r="D150" s="70"/>
      <c r="E150" s="70"/>
      <c r="F150" s="70"/>
      <c r="G150" s="37"/>
      <c r="H150" s="37"/>
      <c r="I150" s="38"/>
      <c r="L150" s="34" t="s">
        <v>6</v>
      </c>
      <c r="M150" s="70">
        <f>+MIN(1/M145*(3.5-2.5*M149)*(1.9+0.1*M148),10)</f>
        <v>-3.5466250993125903</v>
      </c>
      <c r="N150" s="70"/>
    </row>
    <row r="151" spans="1:16" ht="18" x14ac:dyDescent="0.35">
      <c r="A151" s="59" t="s">
        <v>6</v>
      </c>
      <c r="B151" s="61">
        <f>+MIN(1/B146*(3.5-2.5*B150)*(1.9+0.1*B149),10)</f>
        <v>-4.1057894296121606</v>
      </c>
      <c r="C151" s="39"/>
      <c r="D151" s="70"/>
      <c r="E151" s="70"/>
      <c r="F151" s="37"/>
      <c r="G151" s="37"/>
      <c r="H151" s="37"/>
      <c r="I151" s="38"/>
      <c r="L151" s="34" t="s">
        <v>12</v>
      </c>
      <c r="M151" s="37">
        <f>0.75*M150*(C10*1000)^0.5/1000*C23*12*B144</f>
        <v>-2426.8880937915583</v>
      </c>
      <c r="N151" s="37" t="s">
        <v>8</v>
      </c>
    </row>
    <row r="152" spans="1:16" ht="18" x14ac:dyDescent="0.35">
      <c r="A152" s="59" t="s">
        <v>12</v>
      </c>
      <c r="B152" s="68">
        <f>0.75*B151*(C10*1000)^0.5/1000*C23*12*B144</f>
        <v>-2809.513608943972</v>
      </c>
      <c r="C152" s="39" t="s">
        <v>18</v>
      </c>
      <c r="D152" s="37"/>
      <c r="E152" s="37"/>
      <c r="F152" s="37"/>
      <c r="G152" s="37"/>
      <c r="H152" s="37"/>
      <c r="I152" s="38"/>
      <c r="L152" s="34" t="s">
        <v>14</v>
      </c>
      <c r="M152" s="37">
        <f>+M146/M151</f>
        <v>-0.28649688868586298</v>
      </c>
      <c r="N152" s="37"/>
    </row>
    <row r="153" spans="1:16" ht="18" x14ac:dyDescent="0.35">
      <c r="A153" s="59" t="s">
        <v>14</v>
      </c>
      <c r="B153" s="63">
        <f>+B147/B152</f>
        <v>-0.3385980708659444</v>
      </c>
      <c r="C153" s="37"/>
      <c r="D153" s="130" t="s">
        <v>280</v>
      </c>
      <c r="F153" s="16" t="s">
        <v>14</v>
      </c>
      <c r="G153" s="80">
        <f>+IF(B145&gt;0,B153,M152)</f>
        <v>-0.3385980708659444</v>
      </c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  <c r="L156" s="16" t="s">
        <v>83</v>
      </c>
      <c r="O156" s="16">
        <f>+B164/2*B112</f>
        <v>-173.44002647704471</v>
      </c>
      <c r="P156" s="16" t="s">
        <v>5</v>
      </c>
    </row>
    <row r="157" spans="1:16" x14ac:dyDescent="0.25">
      <c r="A157" s="59" t="s">
        <v>1</v>
      </c>
      <c r="B157" s="40">
        <f>+C21-C15-C16-P21-L21/2</f>
        <v>46.885000000000005</v>
      </c>
      <c r="C157" s="39" t="s">
        <v>0</v>
      </c>
      <c r="D157" s="37"/>
      <c r="E157" s="37"/>
      <c r="F157" s="37"/>
      <c r="G157" s="37"/>
      <c r="H157" s="37"/>
      <c r="I157" s="38"/>
      <c r="L157" s="34" t="s">
        <v>63</v>
      </c>
      <c r="M157" s="70">
        <f>+C18*12-C43/2+C12+C18*12*0.866</f>
        <v>125.352</v>
      </c>
      <c r="N157" s="37" t="s">
        <v>0</v>
      </c>
    </row>
    <row r="158" spans="1:16" x14ac:dyDescent="0.25">
      <c r="A158" s="59" t="s">
        <v>63</v>
      </c>
      <c r="B158" s="61">
        <f>+C18*12-C43/2+C12</f>
        <v>63</v>
      </c>
      <c r="C158" s="39" t="s">
        <v>0</v>
      </c>
      <c r="D158" s="70"/>
      <c r="E158" s="37"/>
      <c r="F158" s="37"/>
      <c r="G158" s="37"/>
      <c r="H158" s="37"/>
      <c r="I158" s="38"/>
      <c r="L158" s="34" t="s">
        <v>64</v>
      </c>
      <c r="M158" s="70">
        <f>MAX(M157/B157,0)</f>
        <v>2.6736056307987628</v>
      </c>
      <c r="N158" s="37"/>
    </row>
    <row r="159" spans="1:16" ht="18" x14ac:dyDescent="0.35">
      <c r="A159" s="59" t="s">
        <v>64</v>
      </c>
      <c r="B159" s="61">
        <f>MAX(B158/B157,0)</f>
        <v>1.3437133411538871</v>
      </c>
      <c r="C159" s="39"/>
      <c r="D159" s="70" t="str">
        <f>+IF(B159&lt;1,"OK, this limit state should be checked","Limit state not applicable")</f>
        <v>Limit state not applicable</v>
      </c>
      <c r="E159" s="37"/>
      <c r="F159" s="37"/>
      <c r="G159" s="37"/>
      <c r="H159" s="37"/>
      <c r="I159" s="38"/>
      <c r="L159" s="34" t="s">
        <v>57</v>
      </c>
      <c r="M159" s="37">
        <f>4*C7*C14-C7*0.15*C22*C23*C21/12*((C23/2-C43/2/12)/C23)</f>
        <v>160.14996000000014</v>
      </c>
      <c r="N159" s="37" t="s">
        <v>8</v>
      </c>
    </row>
    <row r="160" spans="1:16" ht="18" x14ac:dyDescent="0.35">
      <c r="A160" s="59" t="s">
        <v>57</v>
      </c>
      <c r="B160" s="68">
        <f>9*C7*C14-C7*0.15*C22*C23*C21/12*((C23/2-C43/2/12)/C23)+C7*U26*U27*C21/12*0.15</f>
        <v>825.16116806004641</v>
      </c>
      <c r="C160" s="39" t="s">
        <v>18</v>
      </c>
      <c r="D160" s="70"/>
      <c r="E160" s="37"/>
      <c r="F160" s="70"/>
      <c r="G160" s="37"/>
      <c r="H160" s="37"/>
      <c r="I160" s="38"/>
      <c r="L160" s="34" t="s">
        <v>25</v>
      </c>
      <c r="M160" s="37">
        <f>C7*C14*(4*(M157))-C7*0.15*C22*C23*C21/12*((C23/2-C43/2/12)/C23)*(C23/2-C43/2/12)*12/2</f>
        <v>40016.570652960014</v>
      </c>
      <c r="N160" s="37" t="s">
        <v>26</v>
      </c>
    </row>
    <row r="161" spans="1:32" ht="18" x14ac:dyDescent="0.35">
      <c r="A161" s="59" t="s">
        <v>25</v>
      </c>
      <c r="B161" s="68">
        <f>C7*C14*(5*B158)+C7*C14*(4*(B158+0.866*C18*12))-C7*0.15*C22*C23*C21/12*((C23/2-C43/2/12)/C23)*(C23/2-C43/2/12)*12/2+C7*U26*U27*C21/12*0.15*(C23*12/2-U27*12/3)</f>
        <v>83460.670629324261</v>
      </c>
      <c r="C161" s="39" t="s">
        <v>26</v>
      </c>
      <c r="D161" s="70"/>
      <c r="E161" s="37"/>
      <c r="F161" s="70"/>
      <c r="G161" s="37"/>
      <c r="H161" s="37"/>
      <c r="I161" s="38"/>
      <c r="L161" s="34" t="s">
        <v>65</v>
      </c>
      <c r="M161" s="70">
        <f>+M159*B157/M160</f>
        <v>0.18763803974403279</v>
      </c>
      <c r="N161" s="70"/>
    </row>
    <row r="162" spans="1:32" ht="18" x14ac:dyDescent="0.35">
      <c r="A162" s="59" t="s">
        <v>65</v>
      </c>
      <c r="B162" s="61">
        <f>+B160*B157/B161</f>
        <v>0.46354385931452363</v>
      </c>
      <c r="C162" s="39"/>
      <c r="D162" s="70"/>
      <c r="E162" s="70"/>
      <c r="F162" s="70"/>
      <c r="G162" s="37"/>
      <c r="H162" s="37"/>
      <c r="I162" s="38"/>
      <c r="L162" s="34" t="s">
        <v>66</v>
      </c>
      <c r="M162" s="70">
        <f>1/M161</f>
        <v>5.3294097580861228</v>
      </c>
      <c r="N162" s="70"/>
    </row>
    <row r="163" spans="1:32" ht="18" x14ac:dyDescent="0.35">
      <c r="A163" s="59" t="s">
        <v>415</v>
      </c>
      <c r="B163" s="61">
        <f>1/B162</f>
        <v>2.1572931663441155</v>
      </c>
      <c r="C163" s="39"/>
      <c r="D163" s="70"/>
      <c r="E163" s="70"/>
      <c r="F163" s="70"/>
      <c r="G163" s="37"/>
      <c r="H163" s="37"/>
      <c r="I163" s="38"/>
      <c r="L163" s="34" t="s">
        <v>6</v>
      </c>
      <c r="M163" s="70">
        <f>+MIN(1/M158*(3.5-2.5*M162)*(1.9+0.1*M161),10)</f>
        <v>-7.0500386518737859</v>
      </c>
      <c r="N163" s="70"/>
    </row>
    <row r="164" spans="1:32" ht="18" x14ac:dyDescent="0.35">
      <c r="A164" s="59" t="s">
        <v>6</v>
      </c>
      <c r="B164" s="61">
        <f>+MIN(1/B159*(3.5-2.5*B163)*(1.9+0.1*B162),10)</f>
        <v>-2.7423276055368535</v>
      </c>
      <c r="C164" s="39"/>
      <c r="D164" s="70"/>
      <c r="E164" s="70"/>
      <c r="F164" s="37"/>
      <c r="G164" s="37"/>
      <c r="H164" s="37"/>
      <c r="I164" s="38"/>
      <c r="L164" s="34" t="s">
        <v>12</v>
      </c>
      <c r="M164" s="37">
        <f>0.75*M163*(C10*1000)^0.5/1000*C22*12*B157</f>
        <v>-4985.9026818573129</v>
      </c>
      <c r="N164" s="37" t="s">
        <v>8</v>
      </c>
    </row>
    <row r="165" spans="1:32" ht="18" x14ac:dyDescent="0.35">
      <c r="A165" s="59" t="s">
        <v>12</v>
      </c>
      <c r="B165" s="68">
        <f>0.75*B164*(C10*1000)^0.5/1000*C22*12*B157</f>
        <v>-1939.4189504682338</v>
      </c>
      <c r="C165" s="39" t="s">
        <v>18</v>
      </c>
      <c r="D165" s="37"/>
      <c r="E165" s="37"/>
      <c r="F165" s="37"/>
      <c r="G165" s="37"/>
      <c r="H165" s="37"/>
      <c r="I165" s="38"/>
      <c r="L165" s="34" t="s">
        <v>14</v>
      </c>
      <c r="M165" s="37">
        <f>+M159/M164</f>
        <v>-3.2120554735806078E-2</v>
      </c>
      <c r="N165" s="37"/>
    </row>
    <row r="166" spans="1:32" ht="18" x14ac:dyDescent="0.35">
      <c r="A166" s="59" t="s">
        <v>14</v>
      </c>
      <c r="B166" s="63">
        <f>+B160/B165</f>
        <v>-0.4254682402999248</v>
      </c>
      <c r="C166" s="37"/>
      <c r="D166" s="130" t="s">
        <v>280</v>
      </c>
      <c r="F166" s="16" t="s">
        <v>14</v>
      </c>
      <c r="G166" s="80">
        <f>+IF(B158&gt;0,B166,M165)</f>
        <v>-0.4254682402999248</v>
      </c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48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24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+C23*C22*C21/12/27-2*U26*U27*C21/12/27</f>
        <v>110.36383701850427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68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10253.856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9.6300995341546525</v>
      </c>
      <c r="AF172" s="16" t="s">
        <v>5</v>
      </c>
    </row>
    <row r="173" spans="1:32" ht="18.75" x14ac:dyDescent="0.35">
      <c r="A173" s="34"/>
      <c r="B173" s="40">
        <f>+C66</f>
        <v>17</v>
      </c>
      <c r="C173" s="39" t="s">
        <v>70</v>
      </c>
      <c r="D173" s="72" t="str">
        <f>"#"&amp;+C24</f>
        <v>#11</v>
      </c>
      <c r="E173" s="37" t="s">
        <v>71</v>
      </c>
      <c r="F173" s="37" t="s">
        <v>72</v>
      </c>
      <c r="G173" s="43">
        <f>+C23-0.5</f>
        <v>24.391999999999999</v>
      </c>
      <c r="H173" s="39" t="s">
        <v>73</v>
      </c>
      <c r="I173" s="38"/>
      <c r="Q173" s="16" t="s">
        <v>7</v>
      </c>
      <c r="R173" s="16">
        <f>+R172*T171/1000</f>
        <v>2594.0431807506798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1.7281312499999999</v>
      </c>
      <c r="H174" s="39" t="s">
        <v>73</v>
      </c>
      <c r="I174" s="38"/>
      <c r="Q174" s="16" t="s">
        <v>12</v>
      </c>
      <c r="R174" s="16">
        <f>+R173*0.75</f>
        <v>1945.5323855630099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2203.1558435061875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98.745653888888882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5.0755081036758617E-2</v>
      </c>
    </row>
    <row r="177" spans="1:32" x14ac:dyDescent="0.25">
      <c r="A177" s="34"/>
      <c r="B177" s="40">
        <f>+C84</f>
        <v>17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26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2348.395044734375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48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24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4551.5508882405629</v>
      </c>
      <c r="D181" s="39" t="s">
        <v>78</v>
      </c>
      <c r="E181" s="37" t="s">
        <v>79</v>
      </c>
      <c r="F181" s="80">
        <f>+C181/2000</f>
        <v>2.2757754441202813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213.62200000000001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17165.856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10.911524242594654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4342.6562357173871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3256.9921767880405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187.30565388888888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5.7508782251237942E-2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48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24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83.405500000000004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4003.4639999999999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27.640375136520664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1012.8051816390672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759.60388622930043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110.65724680555556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0.14567756802148801</v>
      </c>
      <c r="T199" s="16" t="s">
        <v>145</v>
      </c>
      <c r="V199" s="16">
        <f>+(C19*C19+C19*T170+3.1415*T170^2/4/4)/144</f>
        <v>14.950649305555556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48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4244.4479999999994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26.447111064719977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536.88492360585417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402.66369270439066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112.25338766442857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0.27877702831985318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7" orientation="portrait" r:id="rId1"/>
  <headerFooter>
    <oddHeader>&amp;R"CRSI-PILECAP" Program
Version 1.0</oddHeader>
    <oddFooter>&amp;C&amp;P of &amp;N&amp;R&amp;D  &amp;T</oddFooter>
  </headerFooter>
  <rowBreaks count="5" manualBreakCount="5">
    <brk id="44" max="37" man="1"/>
    <brk id="85" max="37" man="1"/>
    <brk id="126" max="37" man="1"/>
    <brk id="167" max="37" man="1"/>
    <brk id="208" max="37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272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55" t="s">
        <v>101</v>
      </c>
      <c r="B6" s="126"/>
      <c r="C6" s="126"/>
      <c r="D6" s="126"/>
      <c r="E6" s="126"/>
      <c r="F6" s="126"/>
      <c r="G6" s="126"/>
      <c r="H6" s="126"/>
      <c r="I6" s="127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18.678525000000004</v>
      </c>
    </row>
    <row r="20" spans="1:17" ht="18" x14ac:dyDescent="0.35">
      <c r="A20" s="34"/>
      <c r="B20" s="36" t="s">
        <v>396</v>
      </c>
      <c r="C20" s="122">
        <v>55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17" ht="18" x14ac:dyDescent="0.35">
      <c r="A21" s="34"/>
      <c r="B21" s="36" t="s">
        <v>397</v>
      </c>
      <c r="C21" s="84">
        <v>66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1.27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2*C19/12+4*C18</f>
        <v>26.5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1.2667313375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17" x14ac:dyDescent="0.25">
      <c r="A23" s="34"/>
      <c r="B23" s="36" t="s">
        <v>399</v>
      </c>
      <c r="C23" s="122">
        <f>2*C19/12+2*C18+C18*0.866*2</f>
        <v>24.891999999999999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10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54.955000000000005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56.295000000000002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56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17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56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28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76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13370.224000000002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applicable",IF(G140&lt;1,"OK","NG"))</f>
        <v>OK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6.4633929593600419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3382.4288533317695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2536.8216399988269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86.417011666666667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3.4065071940456416E-2</v>
      </c>
    </row>
    <row r="41" spans="1:25" ht="18" x14ac:dyDescent="0.35">
      <c r="A41" s="34"/>
      <c r="B41" s="59" t="s">
        <v>22</v>
      </c>
      <c r="C41" s="60">
        <f>C7*24*C14-C7*C22*C23*C21/12*0.15</f>
        <v>2201.2778400000007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23.458888720482907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24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C7*C14*(5*(0.866*C18*12+C12-C43/4))+C7*C14*(5*(1.866*C18*12+C12-C43/4))-C7*(C23/2-C43/12/4)*C22*C21/12*0.15*(C23/2-C43/12/4)*12/2</f>
        <v>92099.232469920025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3475.4427347139631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54.955000000000005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1.2075018386035481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31.998798722994025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42.66506496399203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55.262984083027945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58.252300000000012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58.252300000000012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37.778400000000005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42.66506496399203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1.0645990679736461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20.715333333333334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0.96871108343711088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3.6349999999999998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33.00000646635047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3.6349999999999998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42.66506496399203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3.6349999999999998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36.144833655724575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134.352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33.681226398168292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16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36.144833655724575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134.352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C7*C14*(1*(0.5*C18*12+C12-C43/4))+C7*C14*(4*(C18*12+C12-C43/4))+C7*C14*(1*(1.5*C18*12+C12-C43/4))+C7*C14*(4*(2*C18*12+C12-C43/4))-C7*(C22/2-C43/12/4)*C23*C21/12*0.15*(C22/2-C43/12/4)*12/2</f>
        <v>93135.674460000009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3741.590650008035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56.295000000000002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19.419599999999999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1.2691341931747147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31.591288336504995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42.121717782006662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53.175411798294263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56.051805599999994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56.051805599999994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35.486035200000003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42.121717782006662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144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8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8" ht="18" x14ac:dyDescent="0.35">
      <c r="A82" s="34"/>
      <c r="B82" s="161" t="s">
        <v>212</v>
      </c>
      <c r="C82" s="61">
        <f>+M80</f>
        <v>144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8" x14ac:dyDescent="0.25">
      <c r="A83" s="34"/>
      <c r="B83" s="36" t="s">
        <v>451</v>
      </c>
      <c r="C83" s="69">
        <f>+C79/P22</f>
        <v>26.976821354611531</v>
      </c>
      <c r="D83" s="39"/>
      <c r="E83" s="37"/>
      <c r="F83" s="37"/>
      <c r="G83" s="37"/>
      <c r="H83" s="37"/>
      <c r="I83" s="38"/>
    </row>
    <row r="84" spans="1:18" x14ac:dyDescent="0.25">
      <c r="A84" s="34"/>
      <c r="B84" s="36" t="s">
        <v>412</v>
      </c>
      <c r="C84" s="84">
        <v>16</v>
      </c>
      <c r="D84" s="39"/>
      <c r="E84" s="37"/>
      <c r="F84" s="37"/>
      <c r="G84" s="37"/>
      <c r="H84" s="37"/>
      <c r="I84" s="168"/>
    </row>
    <row r="85" spans="1:18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8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40</v>
      </c>
      <c r="N86" s="16" t="s">
        <v>0</v>
      </c>
      <c r="O86" s="51"/>
      <c r="P86" s="51"/>
    </row>
    <row r="87" spans="1:18" x14ac:dyDescent="0.25">
      <c r="A87" s="59" t="s">
        <v>1</v>
      </c>
      <c r="B87" s="43">
        <f>+C21-C15-C16-1</f>
        <v>56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0.866*C18*12+C12</f>
        <v>65.352000000000004</v>
      </c>
      <c r="P87" s="16" t="s">
        <v>0</v>
      </c>
      <c r="Q87" s="16" t="s">
        <v>119</v>
      </c>
    </row>
    <row r="88" spans="1:18" x14ac:dyDescent="0.25">
      <c r="A88" s="59" t="s">
        <v>53</v>
      </c>
      <c r="B88" s="63">
        <f>+B87/2</f>
        <v>28</v>
      </c>
      <c r="C88" s="39" t="s">
        <v>0</v>
      </c>
      <c r="D88" s="37"/>
      <c r="E88" s="37"/>
      <c r="F88" s="37"/>
      <c r="G88" s="70"/>
      <c r="H88" s="37"/>
      <c r="I88" s="38"/>
      <c r="J88" s="16" t="s">
        <v>271</v>
      </c>
      <c r="K88" s="51"/>
      <c r="L88" s="51"/>
      <c r="M88" s="51"/>
      <c r="N88" s="51"/>
      <c r="O88" s="51">
        <f>1.866*C18*12+C12</f>
        <v>137.35200000000003</v>
      </c>
      <c r="P88" s="16" t="s">
        <v>0</v>
      </c>
      <c r="Q88" s="16" t="s">
        <v>119</v>
      </c>
    </row>
    <row r="89" spans="1:18" x14ac:dyDescent="0.25">
      <c r="A89" s="71"/>
      <c r="B89" s="70"/>
      <c r="C89" s="70"/>
      <c r="D89" s="71" t="s">
        <v>413</v>
      </c>
      <c r="E89" s="72">
        <f>+IF(M86&gt;O92,0,IF(M86&gt;O88,8,IF(M86&gt;O91,14,IF(M86&gt;O90,16,IF(M86&gt;O87,20,IF(M86&gt;O89,22,24))))))</f>
        <v>22</v>
      </c>
      <c r="F89" s="37"/>
      <c r="G89" s="37"/>
      <c r="H89" s="37"/>
      <c r="I89" s="38"/>
      <c r="J89" s="16" t="s">
        <v>56</v>
      </c>
      <c r="K89" s="51"/>
      <c r="L89" s="51"/>
      <c r="M89" s="51"/>
      <c r="N89" s="51"/>
      <c r="O89" s="51">
        <f>+C18*12/2+C12</f>
        <v>39</v>
      </c>
      <c r="P89" s="16" t="s">
        <v>0</v>
      </c>
      <c r="Q89" s="16" t="s">
        <v>119</v>
      </c>
    </row>
    <row r="90" spans="1:18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246</v>
      </c>
      <c r="K90" s="51"/>
      <c r="L90" s="51"/>
      <c r="M90" s="51"/>
      <c r="N90" s="51"/>
      <c r="O90" s="51">
        <f>+C18*12+C12</f>
        <v>75</v>
      </c>
      <c r="P90" s="16" t="s">
        <v>0</v>
      </c>
      <c r="Q90" s="16" t="s">
        <v>119</v>
      </c>
    </row>
    <row r="91" spans="1:18" ht="18" x14ac:dyDescent="0.35">
      <c r="A91" s="59" t="s">
        <v>11</v>
      </c>
      <c r="B91" s="68">
        <f>4*(B87+C43)</f>
        <v>320</v>
      </c>
      <c r="C91" s="39" t="s">
        <v>0</v>
      </c>
      <c r="D91" s="37"/>
      <c r="E91" s="37"/>
      <c r="F91" s="37"/>
      <c r="G91" s="37"/>
      <c r="H91" s="37"/>
      <c r="I91" s="38"/>
      <c r="J91" s="16" t="s">
        <v>273</v>
      </c>
      <c r="K91" s="51"/>
      <c r="L91" s="51"/>
      <c r="M91" s="51"/>
      <c r="N91" s="51"/>
      <c r="O91" s="51">
        <f>1.5*C18*12+C12</f>
        <v>111</v>
      </c>
      <c r="P91" s="16" t="s">
        <v>0</v>
      </c>
      <c r="Q91" s="16" t="s">
        <v>119</v>
      </c>
    </row>
    <row r="92" spans="1:18" ht="18.75" x14ac:dyDescent="0.35">
      <c r="A92" s="59" t="s">
        <v>7</v>
      </c>
      <c r="B92" s="68">
        <f>+B90*B91*B87/1000</f>
        <v>4533.4412536173886</v>
      </c>
      <c r="C92" s="39" t="s">
        <v>18</v>
      </c>
      <c r="D92" s="37" t="s">
        <v>15</v>
      </c>
      <c r="E92" s="37"/>
      <c r="F92" s="37"/>
      <c r="G92" s="37"/>
      <c r="H92" s="37"/>
      <c r="I92" s="38"/>
      <c r="J92" s="16" t="s">
        <v>274</v>
      </c>
      <c r="K92" s="51"/>
      <c r="L92" s="51"/>
      <c r="M92" s="51"/>
      <c r="N92" s="51"/>
      <c r="O92" s="51">
        <f>2*C18*12+C12</f>
        <v>147</v>
      </c>
      <c r="P92" s="16" t="s">
        <v>0</v>
      </c>
      <c r="Q92" s="16" t="s">
        <v>119</v>
      </c>
    </row>
    <row r="93" spans="1:18" ht="18" x14ac:dyDescent="0.35">
      <c r="A93" s="59" t="s">
        <v>12</v>
      </c>
      <c r="B93" s="68">
        <f>+B92*0.75</f>
        <v>3400.0809402130417</v>
      </c>
      <c r="C93" s="39" t="s">
        <v>18</v>
      </c>
      <c r="D93" s="37"/>
      <c r="E93" s="37"/>
      <c r="F93" s="37"/>
      <c r="G93" s="37"/>
      <c r="H93" s="37"/>
      <c r="I93" s="38"/>
    </row>
    <row r="94" spans="1:18" ht="18" x14ac:dyDescent="0.35">
      <c r="A94" s="59" t="s">
        <v>57</v>
      </c>
      <c r="B94" s="68">
        <f>+E89*C7*C14-C7*0.15*C22*C23*C21/12+C7*0.15*(2*M86)/12*(2*M86)/12*C21/12</f>
        <v>2003.9445066666669</v>
      </c>
      <c r="C94" s="39" t="s">
        <v>18</v>
      </c>
      <c r="D94" s="37" t="s">
        <v>131</v>
      </c>
      <c r="E94" s="37"/>
      <c r="F94" s="37"/>
      <c r="G94" s="37"/>
      <c r="H94" s="37"/>
      <c r="I94" s="38"/>
      <c r="N94" s="16" t="s">
        <v>83</v>
      </c>
      <c r="Q94" s="16">
        <f>+B90</f>
        <v>252.98221281347034</v>
      </c>
      <c r="R94" s="16" t="s">
        <v>5</v>
      </c>
    </row>
    <row r="95" spans="1:18" ht="18" x14ac:dyDescent="0.35">
      <c r="A95" s="59" t="s">
        <v>14</v>
      </c>
      <c r="B95" s="63">
        <f>+B94/B93</f>
        <v>0.58938141235576125</v>
      </c>
      <c r="C95" s="37"/>
      <c r="D95" s="37"/>
      <c r="E95" s="37"/>
      <c r="F95" s="37"/>
      <c r="G95" s="37"/>
      <c r="H95" s="37"/>
      <c r="I95" s="38"/>
    </row>
    <row r="96" spans="1:18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68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56</v>
      </c>
      <c r="C99" s="39" t="s">
        <v>0</v>
      </c>
      <c r="D99" s="37"/>
      <c r="E99" s="37"/>
      <c r="F99" s="37"/>
      <c r="G99" s="37"/>
      <c r="H99" s="37"/>
      <c r="I99" s="38"/>
      <c r="J99" s="16" t="s">
        <v>56</v>
      </c>
      <c r="K99" s="51"/>
      <c r="L99" s="51"/>
      <c r="M99" s="51"/>
      <c r="N99" s="51"/>
      <c r="O99" s="51">
        <f>+C18*12/2+C12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+IF(M98&gt;O102,0,IF(M98&gt;O101,4,IF(M98&gt;O100,5,IF(M98&gt;O99,9,10))))</f>
        <v>9</v>
      </c>
      <c r="F100" s="37"/>
      <c r="G100" s="37"/>
      <c r="H100" s="37"/>
      <c r="I100" s="38"/>
      <c r="J100" s="16" t="s">
        <v>246</v>
      </c>
      <c r="K100" s="51"/>
      <c r="L100" s="51"/>
      <c r="M100" s="51"/>
      <c r="N100" s="51"/>
      <c r="O100" s="51">
        <f>+C18*12+C12</f>
        <v>75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J101" s="16" t="s">
        <v>273</v>
      </c>
      <c r="K101" s="51"/>
      <c r="L101" s="51"/>
      <c r="M101" s="51"/>
      <c r="N101" s="51"/>
      <c r="O101" s="51">
        <f>1.5*C18*12+C12</f>
        <v>111</v>
      </c>
      <c r="P101" s="16" t="s">
        <v>0</v>
      </c>
      <c r="Q101" s="16" t="s">
        <v>119</v>
      </c>
    </row>
    <row r="102" spans="1:17" x14ac:dyDescent="0.25">
      <c r="A102" s="59" t="s">
        <v>61</v>
      </c>
      <c r="B102" s="68">
        <f>+C23*12*B99</f>
        <v>16727.423999999999</v>
      </c>
      <c r="C102" s="39" t="s">
        <v>407</v>
      </c>
      <c r="D102" s="37"/>
      <c r="E102" s="37"/>
      <c r="F102" s="37"/>
      <c r="G102" s="37"/>
      <c r="H102" s="37"/>
      <c r="I102" s="38"/>
      <c r="J102" s="16" t="s">
        <v>274</v>
      </c>
      <c r="K102" s="51"/>
      <c r="L102" s="51"/>
      <c r="M102" s="51"/>
      <c r="N102" s="51"/>
      <c r="O102" s="51">
        <f>2*C18*12+C12</f>
        <v>147</v>
      </c>
      <c r="P102" s="16" t="s">
        <v>0</v>
      </c>
      <c r="Q102" s="16" t="s">
        <v>119</v>
      </c>
    </row>
    <row r="103" spans="1:17" ht="18.75" x14ac:dyDescent="0.35">
      <c r="A103" s="59" t="s">
        <v>7</v>
      </c>
      <c r="B103" s="68">
        <f>+B101*B102/1000</f>
        <v>2115.8703690945758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1586.9027768209319</v>
      </c>
      <c r="C104" s="39" t="s">
        <v>18</v>
      </c>
      <c r="D104" s="37"/>
      <c r="E104" s="37"/>
      <c r="F104" s="37"/>
      <c r="G104" s="37"/>
      <c r="H104" s="37"/>
      <c r="I104" s="38"/>
      <c r="L104" s="16" t="s">
        <v>83</v>
      </c>
      <c r="O104" s="16">
        <f>+B101</f>
        <v>126.49110640673517</v>
      </c>
      <c r="P104" s="16" t="s">
        <v>5</v>
      </c>
    </row>
    <row r="105" spans="1:17" ht="18" x14ac:dyDescent="0.35">
      <c r="A105" s="59" t="s">
        <v>57</v>
      </c>
      <c r="B105" s="68">
        <f>+E100*C14*C7-C7*0.15*C22*C23*C21/12*((C22/2-M98/12)/C22)</f>
        <v>902.83108000000004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0.56892652353199369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68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56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0.866*C18*12+C12</f>
        <v>65.352000000000004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+IF(M109&gt;O111,0,IF(M109&gt;O110,5,10))</f>
        <v>5</v>
      </c>
      <c r="F111" s="37"/>
      <c r="G111" s="37"/>
      <c r="H111" s="37"/>
      <c r="I111" s="38"/>
      <c r="J111" s="16" t="s">
        <v>271</v>
      </c>
      <c r="K111" s="51"/>
      <c r="L111" s="51"/>
      <c r="M111" s="51"/>
      <c r="N111" s="51"/>
      <c r="O111" s="51">
        <f>1.866*C18*12+C12</f>
        <v>137.35200000000003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126.49110640673517</v>
      </c>
      <c r="P112" s="16" t="s">
        <v>5</v>
      </c>
    </row>
    <row r="113" spans="1:23" x14ac:dyDescent="0.25">
      <c r="A113" s="59" t="s">
        <v>61</v>
      </c>
      <c r="B113" s="68">
        <f>+C22*12*B110</f>
        <v>17808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2252.5536228911396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23" ht="18" x14ac:dyDescent="0.35">
      <c r="A115" s="59" t="s">
        <v>12</v>
      </c>
      <c r="B115" s="68">
        <f>+B114*0.75</f>
        <v>1689.4152171683547</v>
      </c>
      <c r="C115" s="39" t="s">
        <v>18</v>
      </c>
      <c r="D115" s="37"/>
      <c r="E115" s="37"/>
      <c r="F115" s="37"/>
      <c r="G115" s="37"/>
      <c r="H115" s="37"/>
      <c r="I115" s="38"/>
    </row>
    <row r="116" spans="1:23" ht="18" x14ac:dyDescent="0.35">
      <c r="A116" s="59" t="s">
        <v>57</v>
      </c>
      <c r="B116" s="68">
        <f>+E111*C14*C7-C7*0.15*C22*C23*C21/12*((C23/2-M109/12)/C23)</f>
        <v>402.85892000000007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0.23846057257329303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40.176000000000002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2206.5578400000004</v>
      </c>
      <c r="W127" s="37" t="s">
        <v>8</v>
      </c>
    </row>
    <row r="128" spans="1:23" ht="18.75" x14ac:dyDescent="0.35">
      <c r="A128" s="59" t="s">
        <v>1</v>
      </c>
      <c r="B128" s="43">
        <f>+B87</f>
        <v>56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28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24</v>
      </c>
      <c r="G130" s="37"/>
      <c r="H130" s="37"/>
      <c r="I130" s="38"/>
      <c r="Q130" s="37" t="s">
        <v>16</v>
      </c>
      <c r="R130" s="16">
        <f>+C18*12*0.866-C43/2+C12</f>
        <v>53.351999999999997</v>
      </c>
      <c r="S130" s="16" t="s">
        <v>0</v>
      </c>
      <c r="U130" s="37" t="s">
        <v>11</v>
      </c>
      <c r="V130" s="37">
        <f>+B135</f>
        <v>320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27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  <c r="Q131" s="37" t="s">
        <v>13</v>
      </c>
      <c r="R131" s="37">
        <f>+C14*E130*C7-C7*0.15*C22*C23*C21/12+C7*0.15*(C43)/12*(C43)/12*C21/12</f>
        <v>2206.5578400000004</v>
      </c>
      <c r="S131" s="37" t="s">
        <v>8</v>
      </c>
      <c r="T131" s="37"/>
      <c r="U131" s="37" t="s">
        <v>2</v>
      </c>
      <c r="V131" s="37">
        <f>+B136</f>
        <v>96</v>
      </c>
      <c r="W131" s="37" t="s">
        <v>0</v>
      </c>
    </row>
    <row r="132" spans="1:23" ht="18.75" x14ac:dyDescent="0.35">
      <c r="A132" s="59" t="s">
        <v>57</v>
      </c>
      <c r="B132" s="68">
        <f>+C14*E130*C7-C7*0.15*C22*C23*C21/12+C7*0.15*(C43)/12*(C43)/12*C21/12</f>
        <v>2206.5578400000004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9.292446568432231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3159.5070465274503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320</v>
      </c>
      <c r="S134" s="37" t="s">
        <v>0</v>
      </c>
      <c r="T134" s="37"/>
      <c r="U134" s="34" t="s">
        <v>12</v>
      </c>
      <c r="V134" s="37">
        <f>+V133*0.75</f>
        <v>2369.6302848955875</v>
      </c>
      <c r="W134" s="37" t="s">
        <v>8</v>
      </c>
    </row>
    <row r="135" spans="1:23" ht="18" x14ac:dyDescent="0.35">
      <c r="A135" s="59" t="s">
        <v>11</v>
      </c>
      <c r="B135" s="61">
        <f>4*(B128+C43)</f>
        <v>320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874.50641466384809</v>
      </c>
      <c r="P135" s="16" t="s">
        <v>5</v>
      </c>
      <c r="Q135" s="37" t="s">
        <v>2</v>
      </c>
      <c r="R135" s="37">
        <f>+B136</f>
        <v>96</v>
      </c>
      <c r="S135" s="37" t="s">
        <v>0</v>
      </c>
      <c r="T135" s="37"/>
      <c r="U135" s="34" t="s">
        <v>14</v>
      </c>
      <c r="V135" s="37">
        <f>+V127/V134</f>
        <v>0.93118232581047022</v>
      </c>
      <c r="W135" s="37"/>
    </row>
    <row r="136" spans="1:23" ht="18" x14ac:dyDescent="0.35">
      <c r="A136" s="59" t="s">
        <v>2</v>
      </c>
      <c r="B136" s="61">
        <f>4*C43</f>
        <v>96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6.9975508571999807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13.82716049382716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10.41235567551357</v>
      </c>
      <c r="Q137" s="37" t="s">
        <v>7</v>
      </c>
      <c r="R137" s="37">
        <f>+R136*(C10*1000)^0.5*R135*B128/1000</f>
        <v>2379.2239297737083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4701.346485232848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3540.2852075032779</v>
      </c>
      <c r="Q138" s="37" t="s">
        <v>12</v>
      </c>
      <c r="R138" s="37">
        <f>+R137*0.75</f>
        <v>1784.4179473302811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3526.0098639246362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0.62327120858043394</v>
      </c>
      <c r="Q139" s="37" t="s">
        <v>14</v>
      </c>
      <c r="R139" s="37">
        <f>+R131/R138</f>
        <v>1.2365700778235811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0.6257945737973587</v>
      </c>
      <c r="C140" s="37"/>
      <c r="D140" s="130" t="s">
        <v>233</v>
      </c>
      <c r="F140" s="16" t="s">
        <v>14</v>
      </c>
      <c r="G140" s="80">
        <f>+(B140+R139)/2</f>
        <v>0.93118232581046989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56.295000000000002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+C18*12/2-C43/2+C12</f>
        <v>27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0.47961630695443641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10*C7*C14-C7*0.15*C22*C23*C21/12*((C22/2-C43/2/12)/C22)</f>
        <v>877.4963600000001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C7*C14*(1*B145)+C7*C14*(4*(B145+0.5*C18*12))+C7*C14*(1*(B145+1*C18*12))+C7*C14*(4*(B145+1.5*C18*12))-C7*0.15*C22*C23*C21/12*((C22/2-C43/2/12)/C22)*(C22/2-C43/2/12)*12/2</f>
        <v>87919.982459999999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-244.93281870721219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0.56185927480905018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1.779805095038884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-3.872727904199444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-3089.0085163282579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-0.28407055382386381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54.955000000000005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+C18*12*0.866-C43/2+C12</f>
        <v>53.351999999999997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0.97083067964698377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10*C7*C14-C7*0.15*C22*C23*C21/12*((C23/2-C43/2/12)/C23)</f>
        <v>879.61892000000012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C7*C14*(5*B158)+C7*C14*(5*(B158+C18*12))-C7*0.15*C22*C23*C21/12*((C23/2-C43/2/12)/C23)*(C23/2-C43/2/12)*12/2</f>
        <v>86873.988949920007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-126.49905115960645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0.55643188868035187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1.7971651523632581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-2.0001256175726021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-1657.9936525195671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-0.53053213965161372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56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28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134.3707037037037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76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13370.224000000002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6.4633929593600419</v>
      </c>
      <c r="AF172" s="16" t="s">
        <v>5</v>
      </c>
    </row>
    <row r="173" spans="1:32" ht="18.75" x14ac:dyDescent="0.35">
      <c r="A173" s="34"/>
      <c r="B173" s="40">
        <f>+C66</f>
        <v>16</v>
      </c>
      <c r="C173" s="39" t="s">
        <v>70</v>
      </c>
      <c r="D173" s="72" t="str">
        <f>"#"&amp;+C24</f>
        <v>#10</v>
      </c>
      <c r="E173" s="37" t="s">
        <v>71</v>
      </c>
      <c r="F173" s="37" t="s">
        <v>72</v>
      </c>
      <c r="G173" s="43">
        <f>+C23-0.5</f>
        <v>24.391999999999999</v>
      </c>
      <c r="H173" s="39" t="s">
        <v>73</v>
      </c>
      <c r="I173" s="38"/>
      <c r="Q173" s="16" t="s">
        <v>7</v>
      </c>
      <c r="R173" s="16">
        <f>+R172*T171/1000</f>
        <v>3382.4288533317695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1.5565437500000003</v>
      </c>
      <c r="H174" s="39" t="s">
        <v>73</v>
      </c>
      <c r="I174" s="38"/>
      <c r="Q174" s="16" t="s">
        <v>12</v>
      </c>
      <c r="R174" s="16">
        <f>+R173*0.75</f>
        <v>2536.8216399988269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1682.230476034111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86.417011666666667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3.4065071940456416E-2</v>
      </c>
    </row>
    <row r="177" spans="1:32" x14ac:dyDescent="0.25">
      <c r="A177" s="34"/>
      <c r="B177" s="40">
        <f>+C84</f>
        <v>16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26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2210.2541597500003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56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28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3892.4846357841116</v>
      </c>
      <c r="D181" s="39" t="s">
        <v>78</v>
      </c>
      <c r="E181" s="37" t="s">
        <v>79</v>
      </c>
      <c r="F181" s="80">
        <f>+C181/2000</f>
        <v>1.9462423178920558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238.75400000000002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21434.224000000002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7.6633057332360917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5422.4774174595941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4066.8580630946954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164.25701166666664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4.0389167538754593E-2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56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28</v>
      </c>
      <c r="U192" s="16" t="s">
        <v>0</v>
      </c>
      <c r="W192" s="51"/>
    </row>
    <row r="193" spans="1:54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89.688500000000005</v>
      </c>
      <c r="U193" s="16" t="s">
        <v>0</v>
      </c>
      <c r="V193" s="51"/>
      <c r="W193" s="51"/>
    </row>
    <row r="194" spans="1:54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5022.5560000000005</v>
      </c>
      <c r="U194" s="16" t="s">
        <v>34</v>
      </c>
    </row>
    <row r="195" spans="1:54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20.923958422099556</v>
      </c>
      <c r="AF195" s="16" t="s">
        <v>5</v>
      </c>
    </row>
    <row r="196" spans="1:54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1270.6173308595723</v>
      </c>
      <c r="S196" s="16" t="s">
        <v>8</v>
      </c>
      <c r="T196" s="16" t="s">
        <v>87</v>
      </c>
    </row>
    <row r="197" spans="1:54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952.9629981446792</v>
      </c>
      <c r="S197" s="16" t="s">
        <v>8</v>
      </c>
    </row>
    <row r="198" spans="1:54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105.09175291666666</v>
      </c>
      <c r="S198" s="16" t="s">
        <v>8</v>
      </c>
      <c r="T198" s="16" t="s">
        <v>344</v>
      </c>
    </row>
    <row r="199" spans="1:54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0.11027894380082907</v>
      </c>
      <c r="T199" s="16" t="s">
        <v>145</v>
      </c>
      <c r="V199" s="16">
        <f>+(C19*C19+C19*T170+3.1415*T170^2/4/4)/144</f>
        <v>17.354732638888891</v>
      </c>
      <c r="W199" s="16" t="s">
        <v>146</v>
      </c>
    </row>
    <row r="200" spans="1:54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4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4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56</v>
      </c>
      <c r="U202" s="16" t="s">
        <v>0</v>
      </c>
      <c r="V202" s="16" t="s">
        <v>52</v>
      </c>
      <c r="W202" s="51"/>
    </row>
    <row r="203" spans="1:54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4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4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4951.8559999999998</v>
      </c>
      <c r="U205" s="16" t="s">
        <v>34</v>
      </c>
    </row>
    <row r="206" spans="1:54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22.230339722193911</v>
      </c>
      <c r="AF206" s="16" t="s">
        <v>5</v>
      </c>
    </row>
    <row r="207" spans="1:54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626.36574420682996</v>
      </c>
      <c r="S207" s="16" t="s">
        <v>8</v>
      </c>
      <c r="T207" s="16" t="s">
        <v>93</v>
      </c>
    </row>
    <row r="208" spans="1:54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469.77430815512247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</row>
    <row r="209" spans="1:54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110.08144113538424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</row>
    <row r="210" spans="1:54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0.23432835560482512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</row>
    <row r="211" spans="1:54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</row>
    <row r="212" spans="1:54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</row>
    <row r="213" spans="1:54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</row>
    <row r="214" spans="1:54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54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54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54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54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4" max="37" man="1"/>
    <brk id="85" max="37" man="1"/>
    <brk id="126" max="37" man="1"/>
    <brk id="167" max="37" man="1"/>
    <brk id="208" max="37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282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126"/>
      <c r="C6" s="126"/>
      <c r="D6" s="126"/>
      <c r="E6" s="126"/>
      <c r="F6" s="126"/>
      <c r="G6" s="126"/>
      <c r="H6" s="126"/>
      <c r="I6" s="127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21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21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21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20.737575</v>
      </c>
    </row>
    <row r="20" spans="1:21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6" t="s">
        <v>258</v>
      </c>
      <c r="F20" s="43">
        <f>+C22-2*U26</f>
        <v>17.063007999999996</v>
      </c>
      <c r="G20" s="39" t="s">
        <v>394</v>
      </c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21" ht="18" x14ac:dyDescent="0.35">
      <c r="A21" s="34"/>
      <c r="B21" s="36" t="s">
        <v>397</v>
      </c>
      <c r="C21" s="84">
        <v>68</v>
      </c>
      <c r="D21" s="39" t="s">
        <v>0</v>
      </c>
      <c r="E21" s="36" t="s">
        <v>259</v>
      </c>
      <c r="F21" s="63">
        <f>2*S27</f>
        <v>19.443999999999999</v>
      </c>
      <c r="G21" s="39" t="s">
        <v>394</v>
      </c>
      <c r="H21" s="37"/>
      <c r="I21" s="38"/>
      <c r="J21" s="16" t="s">
        <v>33</v>
      </c>
      <c r="L21" s="16">
        <f>+IF(C24&lt;9,(C24/8),IF(C24=9,1.128,IF(C24=10,1.27,IF(C24=11,1.41,IF(C24=14,1.693,0)))))</f>
        <v>1.41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21" ht="17.25" x14ac:dyDescent="0.25">
      <c r="A22" s="34"/>
      <c r="B22" s="36" t="s">
        <v>398</v>
      </c>
      <c r="C22" s="121">
        <f>2*C19/12+C18+0.866*4*C18</f>
        <v>29.283999999999999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1.5614040375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21" x14ac:dyDescent="0.25">
      <c r="A23" s="34"/>
      <c r="B23" s="36" t="s">
        <v>399</v>
      </c>
      <c r="C23" s="122">
        <f>2*C19/12+4*C18</f>
        <v>26.5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21" x14ac:dyDescent="0.25">
      <c r="A24" s="34"/>
      <c r="B24" s="36" t="s">
        <v>400</v>
      </c>
      <c r="C24" s="81">
        <v>11</v>
      </c>
      <c r="D24" s="39"/>
      <c r="E24" s="37"/>
      <c r="F24" s="37"/>
      <c r="G24" s="37"/>
      <c r="H24" s="37"/>
      <c r="I24" s="38"/>
    </row>
    <row r="25" spans="1:21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21" ht="18" x14ac:dyDescent="0.35">
      <c r="A26" s="34"/>
      <c r="B26" s="36" t="s">
        <v>402</v>
      </c>
      <c r="C26" s="123">
        <f>+C21-C15-C16-P21-0.5*L21</f>
        <v>56.885000000000005</v>
      </c>
      <c r="D26" s="39" t="s">
        <v>0</v>
      </c>
      <c r="E26" s="37"/>
      <c r="F26" s="37"/>
      <c r="G26" s="37"/>
      <c r="H26" s="37"/>
      <c r="I26" s="38"/>
      <c r="O26" s="113"/>
      <c r="P26" s="113" t="s">
        <v>256</v>
      </c>
      <c r="Q26" s="113">
        <f>+C22/2</f>
        <v>14.641999999999999</v>
      </c>
      <c r="R26" s="113" t="s">
        <v>260</v>
      </c>
      <c r="S26" s="113">
        <f>+Q26</f>
        <v>14.641999999999999</v>
      </c>
      <c r="T26" s="113" t="s">
        <v>263</v>
      </c>
      <c r="U26" s="113">
        <f>+U27/0.5*0.866</f>
        <v>6.1104960000000004</v>
      </c>
    </row>
    <row r="27" spans="1:21" ht="18" x14ac:dyDescent="0.35">
      <c r="A27" s="34"/>
      <c r="B27" s="36" t="s">
        <v>403</v>
      </c>
      <c r="C27" s="61">
        <f>+C21-C15-C16-P21/2</f>
        <v>58.295000000000002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  <c r="O27" s="113"/>
      <c r="P27" s="113" t="s">
        <v>257</v>
      </c>
      <c r="Q27" s="113">
        <f>1.5*C18-0.5774*C19/12</f>
        <v>8.2782499999999999</v>
      </c>
      <c r="R27" s="113" t="s">
        <v>261</v>
      </c>
      <c r="S27" s="113">
        <f>+Q27+1.155*C19/12</f>
        <v>9.7219999999999995</v>
      </c>
      <c r="T27" s="113" t="s">
        <v>262</v>
      </c>
      <c r="U27" s="113">
        <f>+(C23-F21)/2</f>
        <v>3.5280000000000005</v>
      </c>
    </row>
    <row r="28" spans="1:21" ht="18" x14ac:dyDescent="0.35">
      <c r="A28" s="34"/>
      <c r="B28" s="36" t="s">
        <v>404</v>
      </c>
      <c r="C28" s="45">
        <f>+C21-C15-C16-1</f>
        <v>58</v>
      </c>
      <c r="D28" s="39" t="s">
        <v>0</v>
      </c>
      <c r="E28" s="37"/>
      <c r="F28" s="37"/>
      <c r="G28" s="37"/>
      <c r="H28" s="37"/>
      <c r="I28" s="38"/>
      <c r="O28" s="113"/>
      <c r="P28" s="113"/>
      <c r="Q28" s="113"/>
      <c r="R28" s="113"/>
      <c r="S28" s="113"/>
      <c r="T28" s="113"/>
      <c r="U28" s="113"/>
    </row>
    <row r="29" spans="1:21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M29" s="16">
        <f>+IF(C9="Round",C17,L27)</f>
        <v>20</v>
      </c>
    </row>
    <row r="30" spans="1:21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21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21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58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29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78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14212.146000000001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+IF(B131&gt;B129,"NA",IF(B140&lt;1,"OK","NG"))</f>
        <v>OK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5.8310935238070316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+IF(G153&lt;1,"OK","NG")</f>
        <v>OK</v>
      </c>
      <c r="D37" s="37"/>
      <c r="E37" s="37"/>
      <c r="F37" s="37"/>
      <c r="G37" s="36" t="s">
        <v>340</v>
      </c>
      <c r="H37" s="49" t="s">
        <v>227</v>
      </c>
      <c r="I37" s="38"/>
      <c r="J37" s="16" t="s">
        <v>7</v>
      </c>
      <c r="K37" s="16">
        <f>+K36*M35/1000</f>
        <v>3595.4201439081112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+IF(G166&lt;1,"OK","NG")</f>
        <v>NG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2696.5651079310833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82.872352500000005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3.0732561307812486E-2</v>
      </c>
    </row>
    <row r="41" spans="1:25" ht="18" x14ac:dyDescent="0.35">
      <c r="A41" s="34"/>
      <c r="B41" s="59" t="s">
        <v>22</v>
      </c>
      <c r="C41" s="60">
        <f>C7*26*C14-C7*C22*C23*C21/12*0.15+C7*2*U26*U27*C21/12*0.15</f>
        <v>2331.2419372953605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24.141468147646698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25</v>
      </c>
      <c r="D43" s="39" t="s">
        <v>0</v>
      </c>
      <c r="E43" s="115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C7*C14*(4*(0.5*C18*12+C12-C43/4))+C7*C14*(2*(1*C18*12+C12-C43/4))+C7*C14*(4*(1.5*C18*12+C12-C43/4))+C7*C14*(2*(2*C18*12+C12-C43/4))-C7*(C23/2-C43/12/4)*C22*C21/12*0.15*(C23/2-C43/12/4)*12/2+C7*U26*U27*C21/12*0.15*(C23*12/2-U27*12/3)</f>
        <v>89561.243951098397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3058.3678442527798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56.885000000000005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1.026569018437435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30.062047135921844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40.082729514562459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63.21343736443314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66.632813600000006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66.632813600000006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43.0123392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43.0123392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1.1050566037735849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16.380857142857142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0.95009321669295843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3.7050000000000001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31.562347208100356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3.7050000000000001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43.0123392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3.7050000000000001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40.129303507536733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143.5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27.547219148266098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22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40.129303507536733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143.5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C7*C14*(4*(0.5*C18*12+C12-C43/4))+C7*C14*(5*((0.5+0.866)*C18*12+C12-C43/4))+C7*C14*(4*((0.5+2*0.866)*C18*12+C12-C43/4))-C7*(C22/2-C43/12/4)*C23*C21/12*0.15*(C22/2-C43/12/4)*12/2+C7*U26*U27*C21/12*0.15*(C22*12/2-U26*12/3)</f>
        <v>119564.68096331709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4511.8747533327205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58.295000000000002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14.79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1.478857354177137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39.189719885694132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52.252959847592173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58.621702431445975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61.792699999999996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61.792699999999996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38.923200000000001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52.252959847592173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160.20400000000001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160.20400000000001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33.465367446631937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22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41.5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58</v>
      </c>
      <c r="C87" s="39" t="s">
        <v>0</v>
      </c>
      <c r="D87" s="37"/>
      <c r="E87" s="37"/>
      <c r="F87" s="37"/>
      <c r="G87" s="70"/>
      <c r="H87" s="37"/>
      <c r="I87" s="38"/>
      <c r="J87" s="16" t="s">
        <v>238</v>
      </c>
      <c r="K87" s="51"/>
      <c r="L87" s="51"/>
      <c r="M87" s="51"/>
      <c r="N87" s="51"/>
      <c r="O87" s="51">
        <f>0.5*C18*12+C12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29</v>
      </c>
      <c r="C88" s="39" t="s">
        <v>0</v>
      </c>
      <c r="D88" s="37"/>
      <c r="E88" s="37"/>
      <c r="F88" s="37"/>
      <c r="G88" s="70"/>
      <c r="H88" s="37"/>
      <c r="I88" s="38"/>
      <c r="J88" s="16" t="s">
        <v>249</v>
      </c>
      <c r="K88" s="51"/>
      <c r="L88" s="51"/>
      <c r="M88" s="51"/>
      <c r="N88" s="51"/>
      <c r="O88" s="51">
        <f>1*C18*12+C12</f>
        <v>75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+IF(M86&gt;O93,0,IF(M86&gt;O90,8,IF(M86&gt;O89,12,IF(M86&gt;O92,16,IF(M86&gt;O87,22,26)))))</f>
        <v>22</v>
      </c>
      <c r="F89" s="37"/>
      <c r="G89" s="37"/>
      <c r="H89" s="37"/>
      <c r="I89" s="38"/>
      <c r="J89" s="16" t="s">
        <v>264</v>
      </c>
      <c r="K89" s="51"/>
      <c r="L89" s="51"/>
      <c r="M89" s="51"/>
      <c r="N89" s="51"/>
      <c r="O89" s="51">
        <f>1.5*C18*12+C12</f>
        <v>111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283</v>
      </c>
      <c r="K90" s="51"/>
      <c r="L90" s="51"/>
      <c r="M90" s="51"/>
      <c r="N90" s="51"/>
      <c r="O90" s="51">
        <f>2*C18*12+C12</f>
        <v>147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332</v>
      </c>
      <c r="C91" s="39" t="s">
        <v>0</v>
      </c>
      <c r="D91" s="37"/>
      <c r="E91" s="37"/>
      <c r="F91" s="37"/>
      <c r="G91" s="37"/>
      <c r="H91" s="37"/>
      <c r="I91" s="38"/>
      <c r="J91" s="16" t="s">
        <v>239</v>
      </c>
      <c r="K91" s="51"/>
      <c r="L91" s="51"/>
      <c r="M91" s="51"/>
      <c r="N91" s="51"/>
      <c r="O91" s="51">
        <f>+C18*12*0.5+C12</f>
        <v>39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4871.4254899361849</v>
      </c>
      <c r="C92" s="39" t="s">
        <v>18</v>
      </c>
      <c r="D92" s="37" t="s">
        <v>15</v>
      </c>
      <c r="E92" s="37"/>
      <c r="F92" s="37"/>
      <c r="G92" s="37"/>
      <c r="H92" s="37"/>
      <c r="I92" s="38"/>
      <c r="J92" s="16" t="s">
        <v>240</v>
      </c>
      <c r="K92" s="51"/>
      <c r="L92" s="51"/>
      <c r="M92" s="51"/>
      <c r="N92" s="51"/>
      <c r="O92" s="51">
        <f>+C18*12*(0.5+0.866)+C12</f>
        <v>101.352</v>
      </c>
      <c r="P92" s="16" t="s">
        <v>0</v>
      </c>
      <c r="Q92" s="16" t="s">
        <v>119</v>
      </c>
    </row>
    <row r="93" spans="1:17" ht="18" x14ac:dyDescent="0.35">
      <c r="A93" s="59" t="s">
        <v>12</v>
      </c>
      <c r="B93" s="68">
        <f>+B92*0.75</f>
        <v>3653.5691174521389</v>
      </c>
      <c r="C93" s="39" t="s">
        <v>18</v>
      </c>
      <c r="D93" s="37"/>
      <c r="E93" s="37"/>
      <c r="F93" s="37"/>
      <c r="G93" s="37"/>
      <c r="H93" s="37"/>
      <c r="I93" s="38"/>
      <c r="J93" s="16" t="s">
        <v>241</v>
      </c>
      <c r="K93" s="51"/>
      <c r="L93" s="51"/>
      <c r="M93" s="51"/>
      <c r="N93" s="51"/>
      <c r="O93" s="51">
        <f>+C18*12*(0.5+2*0.866)+C12</f>
        <v>163.70400000000001</v>
      </c>
      <c r="P93" s="16" t="s">
        <v>0</v>
      </c>
      <c r="Q93" s="16" t="s">
        <v>119</v>
      </c>
    </row>
    <row r="94" spans="1:17" ht="18" x14ac:dyDescent="0.35">
      <c r="A94" s="59" t="s">
        <v>57</v>
      </c>
      <c r="B94" s="68">
        <f>+E89*C7*C14-C7*0.15*C22*C23*C21/12+C7*0.15*(2*M86)/12*(2*M86)/12*C21/12+C7*2*U26*U27*C21/12*0.15</f>
        <v>1884.3047150731377</v>
      </c>
      <c r="C94" s="39" t="s">
        <v>18</v>
      </c>
      <c r="D94" s="37" t="s">
        <v>131</v>
      </c>
      <c r="E94" s="37"/>
      <c r="F94" s="37"/>
      <c r="G94" s="37"/>
      <c r="H94" s="37"/>
      <c r="I94" s="38"/>
      <c r="K94" s="51"/>
      <c r="L94" s="51"/>
      <c r="M94" s="51"/>
      <c r="N94" s="51"/>
      <c r="O94" s="51"/>
    </row>
    <row r="95" spans="1:17" ht="18" x14ac:dyDescent="0.35">
      <c r="A95" s="59" t="s">
        <v>14</v>
      </c>
      <c r="B95" s="63">
        <f>+B94/B93</f>
        <v>0.51574355226299384</v>
      </c>
      <c r="C95" s="37"/>
      <c r="D95" s="37"/>
      <c r="E95" s="37"/>
      <c r="F95" s="37"/>
      <c r="G95" s="37"/>
      <c r="H95" s="37"/>
      <c r="I95" s="38"/>
      <c r="L95" s="16" t="s">
        <v>83</v>
      </c>
      <c r="O95" s="16">
        <f>+B90</f>
        <v>252.98221281347034</v>
      </c>
      <c r="P95" s="16" t="s">
        <v>5</v>
      </c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70.5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58</v>
      </c>
      <c r="C99" s="39" t="s">
        <v>0</v>
      </c>
      <c r="D99" s="37"/>
      <c r="E99" s="37"/>
      <c r="F99" s="37"/>
      <c r="G99" s="37"/>
      <c r="H99" s="37"/>
      <c r="I99" s="38"/>
      <c r="J99" s="16" t="s">
        <v>239</v>
      </c>
      <c r="K99" s="51"/>
      <c r="L99" s="51"/>
      <c r="M99" s="51"/>
      <c r="N99" s="51"/>
      <c r="O99" s="51">
        <f>+C18*12*0.5+C12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+IF(M98&gt;O101,0,IF(M98&gt;O100,4,IF(M98&gt;O99,9,13)))</f>
        <v>9</v>
      </c>
      <c r="F100" s="37"/>
      <c r="G100" s="37"/>
      <c r="H100" s="37"/>
      <c r="I100" s="38"/>
      <c r="J100" s="16" t="s">
        <v>240</v>
      </c>
      <c r="K100" s="51"/>
      <c r="L100" s="51"/>
      <c r="M100" s="51"/>
      <c r="N100" s="51"/>
      <c r="O100" s="51">
        <f>+C18*12*(0.5+0.866)+C12</f>
        <v>101.352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J101" s="16" t="s">
        <v>241</v>
      </c>
      <c r="K101" s="51"/>
      <c r="L101" s="51"/>
      <c r="M101" s="51"/>
      <c r="N101" s="51"/>
      <c r="O101" s="51">
        <f>+C18*12*(0.5+2*0.866)+C12</f>
        <v>163.70400000000001</v>
      </c>
      <c r="P101" s="16" t="s">
        <v>0</v>
      </c>
      <c r="Q101" s="16" t="s">
        <v>119</v>
      </c>
    </row>
    <row r="102" spans="1:17" x14ac:dyDescent="0.25">
      <c r="A102" s="59" t="s">
        <v>61</v>
      </c>
      <c r="B102" s="68">
        <f>+M105*12*B99</f>
        <v>18444</v>
      </c>
      <c r="C102" s="39" t="s">
        <v>407</v>
      </c>
      <c r="D102" s="37"/>
      <c r="E102" s="37"/>
      <c r="F102" s="37"/>
      <c r="G102" s="37"/>
      <c r="H102" s="37"/>
      <c r="I102" s="38"/>
      <c r="K102" s="51"/>
      <c r="L102" s="51"/>
      <c r="M102" s="51"/>
      <c r="N102" s="51"/>
      <c r="O102" s="51"/>
    </row>
    <row r="103" spans="1:17" ht="18.75" x14ac:dyDescent="0.35">
      <c r="A103" s="59" t="s">
        <v>7</v>
      </c>
      <c r="B103" s="68">
        <f>+B101*B102/1000</f>
        <v>2333.0019665658237</v>
      </c>
      <c r="C103" s="39" t="s">
        <v>18</v>
      </c>
      <c r="D103" s="37" t="s">
        <v>62</v>
      </c>
      <c r="E103" s="37"/>
      <c r="F103" s="37"/>
      <c r="G103" s="37"/>
      <c r="H103" s="37"/>
      <c r="I103" s="38"/>
      <c r="L103" s="16" t="s">
        <v>83</v>
      </c>
      <c r="O103" s="16">
        <f>+B101</f>
        <v>126.49110640673517</v>
      </c>
      <c r="P103" s="16" t="s">
        <v>5</v>
      </c>
    </row>
    <row r="104" spans="1:17" ht="18" x14ac:dyDescent="0.35">
      <c r="A104" s="59" t="s">
        <v>12</v>
      </c>
      <c r="B104" s="68">
        <f>+B103*0.75</f>
        <v>1749.7514749243678</v>
      </c>
      <c r="C104" s="39" t="s">
        <v>18</v>
      </c>
      <c r="D104" s="37"/>
      <c r="E104" s="37"/>
      <c r="F104" s="37"/>
      <c r="G104" s="37"/>
      <c r="H104" s="37"/>
      <c r="I104" s="38"/>
      <c r="L104" s="16" t="s">
        <v>268</v>
      </c>
      <c r="M104" s="16">
        <f>+C23</f>
        <v>26.5</v>
      </c>
    </row>
    <row r="105" spans="1:17" ht="18" x14ac:dyDescent="0.35">
      <c r="A105" s="59" t="s">
        <v>57</v>
      </c>
      <c r="B105" s="68">
        <f>+E100*C14*C7-C7*0.15*C22*C23*C21/12*((C22/2-M98/12)/C22)+C7*U26*U27*C21/12*0.15</f>
        <v>865.35596864768002</v>
      </c>
      <c r="C105" s="39" t="s">
        <v>18</v>
      </c>
      <c r="D105" s="37" t="s">
        <v>131</v>
      </c>
      <c r="E105" s="37"/>
      <c r="F105" s="37"/>
      <c r="G105" s="37"/>
      <c r="H105" s="37"/>
      <c r="I105" s="38"/>
      <c r="L105" s="16" t="s">
        <v>267</v>
      </c>
      <c r="M105" s="16">
        <f>+IF(M98/12&lt;F20/2,C23,C23-2*(M98/12-F20/2)/0.866*0.5)</f>
        <v>26.5</v>
      </c>
    </row>
    <row r="106" spans="1:17" ht="18" x14ac:dyDescent="0.35">
      <c r="A106" s="59" t="s">
        <v>14</v>
      </c>
      <c r="B106" s="63">
        <f>+B105/B104</f>
        <v>0.49455935945708213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70.5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58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250</v>
      </c>
      <c r="K110" s="51"/>
      <c r="L110" s="51"/>
      <c r="M110" s="51"/>
      <c r="N110" s="51"/>
      <c r="O110" s="51">
        <f>0.5*C18*12+C12</f>
        <v>39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+IF(M109&gt;O113,0,IF(M109&gt;O112,2,IF(M109&gt;O111,6,IF(M109&gt;O110,8,12))))</f>
        <v>8</v>
      </c>
      <c r="F111" s="37"/>
      <c r="G111" s="37"/>
      <c r="H111" s="37"/>
      <c r="I111" s="38"/>
      <c r="J111" s="16" t="s">
        <v>251</v>
      </c>
      <c r="K111" s="51"/>
      <c r="L111" s="51"/>
      <c r="M111" s="51"/>
      <c r="N111" s="51"/>
      <c r="O111" s="51">
        <f>1*C18*12+C12</f>
        <v>75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J112" s="16" t="s">
        <v>265</v>
      </c>
      <c r="K112" s="51"/>
      <c r="L112" s="51"/>
      <c r="M112" s="51"/>
      <c r="N112" s="51"/>
      <c r="O112" s="51">
        <f>1.5*C18*12+C12</f>
        <v>111</v>
      </c>
      <c r="P112" s="16" t="s">
        <v>0</v>
      </c>
      <c r="Q112" s="16" t="s">
        <v>119</v>
      </c>
    </row>
    <row r="113" spans="1:17" x14ac:dyDescent="0.25">
      <c r="A113" s="59" t="s">
        <v>61</v>
      </c>
      <c r="B113" s="68">
        <f>+M116*12*B110</f>
        <v>20381.664000000001</v>
      </c>
      <c r="C113" s="157" t="s">
        <v>0</v>
      </c>
      <c r="D113" s="37"/>
      <c r="E113" s="37"/>
      <c r="F113" s="37"/>
      <c r="G113" s="37"/>
      <c r="H113" s="37"/>
      <c r="I113" s="38"/>
      <c r="J113" s="16" t="s">
        <v>284</v>
      </c>
      <c r="K113" s="51"/>
      <c r="L113" s="51"/>
      <c r="M113" s="51"/>
      <c r="N113" s="51"/>
      <c r="O113" s="51">
        <f>2*C18*12+C12</f>
        <v>147</v>
      </c>
      <c r="P113" s="16" t="s">
        <v>0</v>
      </c>
      <c r="Q113" s="16" t="s">
        <v>119</v>
      </c>
    </row>
    <row r="114" spans="1:17" ht="18.75" x14ac:dyDescent="0.35">
      <c r="A114" s="59" t="s">
        <v>7</v>
      </c>
      <c r="B114" s="68">
        <f>+B112*B113/1000</f>
        <v>2578.0992297703237</v>
      </c>
      <c r="C114" s="39" t="s">
        <v>18</v>
      </c>
      <c r="D114" s="37" t="s">
        <v>62</v>
      </c>
      <c r="E114" s="37"/>
      <c r="F114" s="37"/>
      <c r="G114" s="37"/>
      <c r="H114" s="37"/>
      <c r="I114" s="38"/>
      <c r="L114" s="16" t="s">
        <v>83</v>
      </c>
      <c r="O114" s="16">
        <f>+B112</f>
        <v>126.49110640673517</v>
      </c>
      <c r="P114" s="16" t="s">
        <v>5</v>
      </c>
    </row>
    <row r="115" spans="1:17" ht="18" x14ac:dyDescent="0.35">
      <c r="A115" s="59" t="s">
        <v>12</v>
      </c>
      <c r="B115" s="68">
        <f>+B114*0.75</f>
        <v>1933.5744223277429</v>
      </c>
      <c r="C115" s="39" t="s">
        <v>18</v>
      </c>
      <c r="D115" s="37"/>
      <c r="E115" s="37"/>
      <c r="F115" s="37"/>
      <c r="G115" s="37"/>
      <c r="H115" s="37"/>
      <c r="I115" s="38"/>
      <c r="L115" s="16" t="s">
        <v>268</v>
      </c>
      <c r="M115" s="16">
        <f>+C22</f>
        <v>29.283999999999999</v>
      </c>
    </row>
    <row r="116" spans="1:17" ht="18" x14ac:dyDescent="0.35">
      <c r="A116" s="59" t="s">
        <v>57</v>
      </c>
      <c r="B116" s="68">
        <f>+E111*C14*C7-C7*0.15*C22*C23*C21/12*((C23/2-M109/12)/C23)+C7*U26*U27*C21/12*0.15</f>
        <v>759.60012864767998</v>
      </c>
      <c r="C116" s="39" t="s">
        <v>18</v>
      </c>
      <c r="D116" s="37" t="s">
        <v>131</v>
      </c>
      <c r="E116" s="37"/>
      <c r="F116" s="37"/>
      <c r="G116" s="37"/>
      <c r="H116" s="37"/>
      <c r="I116" s="38"/>
      <c r="L116" s="16" t="s">
        <v>267</v>
      </c>
      <c r="M116" s="16">
        <f>+IF(M109/12&lt;F21/2,C22,C22-2*(M109/12-F21/2)/0.866*0.5)</f>
        <v>29.283999999999999</v>
      </c>
    </row>
    <row r="117" spans="1:17" ht="18" x14ac:dyDescent="0.35">
      <c r="A117" s="59" t="s">
        <v>14</v>
      </c>
      <c r="B117" s="63">
        <f>+B116/B115</f>
        <v>0.39284762969362808</v>
      </c>
      <c r="C117" s="157"/>
      <c r="D117" s="37"/>
      <c r="E117" s="37"/>
      <c r="F117" s="37"/>
      <c r="G117" s="37"/>
      <c r="H117" s="37"/>
      <c r="I117" s="38"/>
    </row>
    <row r="118" spans="1:17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17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17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17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17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17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17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17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17" x14ac:dyDescent="0.2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</row>
    <row r="127" spans="1:17" ht="18.75" x14ac:dyDescent="0.3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</row>
    <row r="128" spans="1:17" x14ac:dyDescent="0.25">
      <c r="A128" s="59" t="s">
        <v>1</v>
      </c>
      <c r="B128" s="43">
        <f>+B87</f>
        <v>58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NG, but answer conservative</v>
      </c>
    </row>
    <row r="129" spans="1:24" x14ac:dyDescent="0.25">
      <c r="A129" s="59" t="s">
        <v>53</v>
      </c>
      <c r="B129" s="63">
        <f>+B128/2</f>
        <v>29</v>
      </c>
      <c r="C129" s="39" t="s">
        <v>0</v>
      </c>
      <c r="F129" s="37"/>
      <c r="G129" s="37"/>
      <c r="H129" s="37"/>
      <c r="I129" s="38"/>
    </row>
    <row r="130" spans="1:24" ht="18" x14ac:dyDescent="0.35">
      <c r="A130" s="59"/>
      <c r="B130" s="37"/>
      <c r="C130" s="37"/>
      <c r="D130" s="59" t="s">
        <v>453</v>
      </c>
      <c r="E130" s="72">
        <v>26</v>
      </c>
      <c r="G130" s="37"/>
      <c r="H130" s="37"/>
      <c r="I130" s="38"/>
      <c r="K130" s="16">
        <v>1</v>
      </c>
      <c r="L130" s="37" t="s">
        <v>14</v>
      </c>
      <c r="M130" s="37">
        <f>+IF(B131&gt;0,B140,V139)</f>
        <v>0.58454258116889068</v>
      </c>
      <c r="Q130" s="37" t="s">
        <v>16</v>
      </c>
      <c r="R130" s="16">
        <f>+C18*12/2-C43/2+C12</f>
        <v>26.5</v>
      </c>
      <c r="S130" s="16" t="s">
        <v>0</v>
      </c>
      <c r="U130" s="34" t="s">
        <v>16</v>
      </c>
      <c r="V130" s="37">
        <f>+C18*12/2-C43/2+C12+C18*12/2</f>
        <v>62.5</v>
      </c>
      <c r="W130" s="37" t="s">
        <v>16</v>
      </c>
      <c r="X130" s="16">
        <f>+C18*12/2-C43/2+C12+C18*12*0.866</f>
        <v>88.852000000000004</v>
      </c>
    </row>
    <row r="131" spans="1:24" ht="18" x14ac:dyDescent="0.35">
      <c r="A131" s="59" t="s">
        <v>452</v>
      </c>
      <c r="B131" s="43">
        <f>+C18*12/2-C43/2+C12</f>
        <v>26.5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  <c r="K131" s="16">
        <v>2</v>
      </c>
      <c r="L131" s="37" t="s">
        <v>14</v>
      </c>
      <c r="M131" s="37">
        <f>+IF(R130&gt;0,R139,X139)</f>
        <v>0.58454258116889068</v>
      </c>
      <c r="Q131" s="37" t="s">
        <v>13</v>
      </c>
      <c r="R131" s="37">
        <f>+C14*E130*C7-C7*0.15*C22*C23*C21/12+C7*0.15*(C43)/12*(C43)/12*C21/12+C7*2*U26*U27*C21/12*0.15</f>
        <v>2337.1447150731378</v>
      </c>
      <c r="S131" s="37" t="s">
        <v>8</v>
      </c>
      <c r="T131" s="37"/>
      <c r="U131" s="34" t="s">
        <v>13</v>
      </c>
      <c r="V131" s="37">
        <f>+C14*(E130-4)*C7-C7*0.15*C22*C23*C21/12+C7*0.15*(C43)/12*(C43)/12*C21/12</f>
        <v>1766.5074177777778</v>
      </c>
      <c r="W131" s="37" t="s">
        <v>13</v>
      </c>
      <c r="X131" s="37">
        <f>+C14*(E130-4)*C7-C7*0.15*C22*C23*C21/12+C7*0.15*(C43)/12*(C43)/12*C21/12</f>
        <v>1766.5074177777778</v>
      </c>
    </row>
    <row r="132" spans="1:24" ht="18.75" x14ac:dyDescent="0.35">
      <c r="A132" s="59" t="s">
        <v>57</v>
      </c>
      <c r="B132" s="68">
        <f>+C14*E130*C7-C7*0.15*C22*C23*C21/12+C7*0.15*(C43)/12*(C43)/12*C21/12+C7*2*U26*U27*C21/12*0.15</f>
        <v>2337.1447150731378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4" t="s">
        <v>3</v>
      </c>
      <c r="V132" s="37">
        <f>4*(C10*1000)^0.5</f>
        <v>252.98221281347034</v>
      </c>
      <c r="W132" s="37" t="s">
        <v>3</v>
      </c>
      <c r="X132" s="37">
        <f>+B133</f>
        <v>252.98221281347034</v>
      </c>
    </row>
    <row r="133" spans="1:24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4</v>
      </c>
      <c r="V133" s="37">
        <f>+V132*8</f>
        <v>2023.8577025077627</v>
      </c>
      <c r="W133" s="37" t="s">
        <v>4</v>
      </c>
      <c r="X133" s="37">
        <f>+X132*8</f>
        <v>2023.8577025077627</v>
      </c>
    </row>
    <row r="134" spans="1:24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332</v>
      </c>
      <c r="S134" s="37" t="s">
        <v>0</v>
      </c>
      <c r="T134" s="37"/>
      <c r="U134" s="34" t="s">
        <v>11</v>
      </c>
      <c r="V134" s="37">
        <f>4*(B128+C43)</f>
        <v>332</v>
      </c>
      <c r="W134" s="37" t="s">
        <v>11</v>
      </c>
      <c r="X134" s="37">
        <f>+B135</f>
        <v>332</v>
      </c>
    </row>
    <row r="135" spans="1:24" ht="18" x14ac:dyDescent="0.35">
      <c r="A135" s="59" t="s">
        <v>11</v>
      </c>
      <c r="B135" s="61">
        <f>4*(B128+C43)</f>
        <v>332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919.13688489361971</v>
      </c>
      <c r="P135" s="16" t="s">
        <v>5</v>
      </c>
      <c r="Q135" s="37" t="s">
        <v>2</v>
      </c>
      <c r="R135" s="37">
        <f>+B136</f>
        <v>100</v>
      </c>
      <c r="S135" s="37" t="s">
        <v>0</v>
      </c>
      <c r="T135" s="37"/>
      <c r="U135" s="34" t="s">
        <v>2</v>
      </c>
      <c r="V135" s="37">
        <f>4*C43</f>
        <v>100</v>
      </c>
      <c r="W135" s="37" t="s">
        <v>2</v>
      </c>
      <c r="X135" s="37">
        <f>+B136</f>
        <v>100</v>
      </c>
    </row>
    <row r="136" spans="1:24" ht="18" x14ac:dyDescent="0.35">
      <c r="A136" s="59" t="s">
        <v>2</v>
      </c>
      <c r="B136" s="61">
        <f>4*C43</f>
        <v>100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14.532830188679243</v>
      </c>
      <c r="S136" s="37"/>
      <c r="T136" s="37"/>
      <c r="U136" s="34" t="s">
        <v>6</v>
      </c>
      <c r="V136" s="37">
        <f>IF(2*B128/V130*(1+B128/C43)&lt;32,2*B128/V130*(1+B128/C43),32)</f>
        <v>6.1619200000000003</v>
      </c>
      <c r="W136" s="37" t="s">
        <v>6</v>
      </c>
      <c r="X136" s="37">
        <f>IF(2*B128/X130*(1+B128/C43)&lt;32,2*B128/X130*(1+B128/C43),32)</f>
        <v>4.3343987754918292</v>
      </c>
    </row>
    <row r="137" spans="1:24" ht="18" x14ac:dyDescent="0.35">
      <c r="A137" s="59" t="s">
        <v>6</v>
      </c>
      <c r="B137" s="61">
        <f>IF(2*B128/B131*(1+B128/C43)&lt;32,2*B128/B131*(1+B128/C43),32)</f>
        <v>14.532830188679243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14.532830188679243</v>
      </c>
      <c r="Q137" s="37" t="s">
        <v>7</v>
      </c>
      <c r="R137" s="37">
        <f>+R136*(C10*1000)^0.5*R135*B128/1000</f>
        <v>5330.993932382994</v>
      </c>
      <c r="S137" s="37" t="s">
        <v>8</v>
      </c>
      <c r="T137" s="37"/>
      <c r="U137" s="34" t="s">
        <v>7</v>
      </c>
      <c r="V137" s="37">
        <f>+V136*(C10*1000)^0.5*V135*B128/1000</f>
        <v>2260.3414273303897</v>
      </c>
      <c r="W137" s="37" t="s">
        <v>7</v>
      </c>
      <c r="X137" s="37">
        <f>+X136*(C10*1000)^0.5*X135*B128/1000</f>
        <v>1589.9624004878829</v>
      </c>
    </row>
    <row r="138" spans="1:24" ht="18.75" x14ac:dyDescent="0.35">
      <c r="A138" s="59" t="s">
        <v>7</v>
      </c>
      <c r="B138" s="68">
        <f>+B137*(C10*1000)^0.5*B136*B128/1000</f>
        <v>5330.993932382994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5330.993932382994</v>
      </c>
      <c r="Q138" s="37" t="s">
        <v>12</v>
      </c>
      <c r="R138" s="37">
        <f>+R137*0.75</f>
        <v>3998.2454492872457</v>
      </c>
      <c r="S138" s="37" t="s">
        <v>8</v>
      </c>
      <c r="T138" s="37"/>
      <c r="U138" s="34" t="s">
        <v>12</v>
      </c>
      <c r="V138" s="37">
        <f>+V137*0.75</f>
        <v>1695.2560704977923</v>
      </c>
      <c r="W138" s="37" t="s">
        <v>12</v>
      </c>
      <c r="X138" s="37">
        <f>+X137*0.75</f>
        <v>1192.4718003659123</v>
      </c>
    </row>
    <row r="139" spans="1:24" ht="18" x14ac:dyDescent="0.35">
      <c r="A139" s="59" t="s">
        <v>12</v>
      </c>
      <c r="B139" s="68">
        <f>+B138*0.75</f>
        <v>3998.2454492872457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0.43840693587666807</v>
      </c>
      <c r="Q139" s="37" t="s">
        <v>14</v>
      </c>
      <c r="R139" s="37">
        <f>+R131/R138</f>
        <v>0.58454258116889068</v>
      </c>
      <c r="S139" s="37"/>
      <c r="T139" s="37"/>
      <c r="U139" s="34" t="s">
        <v>14</v>
      </c>
      <c r="V139" s="37">
        <f>+V131/V138</f>
        <v>1.0420298434672843</v>
      </c>
      <c r="W139" s="37" t="s">
        <v>14</v>
      </c>
      <c r="X139" s="37">
        <f>+X131/X138</f>
        <v>1.4813829704280819</v>
      </c>
    </row>
    <row r="140" spans="1:24" ht="18" x14ac:dyDescent="0.35">
      <c r="A140" s="59" t="s">
        <v>14</v>
      </c>
      <c r="B140" s="63">
        <f>+B132/B139</f>
        <v>0.58454258116889068</v>
      </c>
      <c r="C140" s="37"/>
      <c r="D140" s="130"/>
      <c r="H140" s="37"/>
      <c r="I140" s="38"/>
    </row>
    <row r="141" spans="1:24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4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4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  <c r="L143" s="16" t="s">
        <v>83</v>
      </c>
      <c r="O143" s="16">
        <f>+B151/2*B101</f>
        <v>-137.15385480330033</v>
      </c>
      <c r="P143" s="16" t="s">
        <v>5</v>
      </c>
    </row>
    <row r="144" spans="1:24" x14ac:dyDescent="0.25">
      <c r="A144" s="59" t="s">
        <v>1</v>
      </c>
      <c r="B144" s="40">
        <f>+C21-C15-C16-P21/2</f>
        <v>58.295000000000002</v>
      </c>
      <c r="C144" s="39" t="s">
        <v>0</v>
      </c>
      <c r="D144" s="37"/>
      <c r="E144" s="37"/>
      <c r="F144" s="37"/>
      <c r="G144" s="37"/>
      <c r="H144" s="37"/>
      <c r="I144" s="38"/>
      <c r="L144" s="34" t="s">
        <v>63</v>
      </c>
      <c r="M144" s="70">
        <f>+C18*12/2-C43/2+C12+C18*12*0.866</f>
        <v>88.852000000000004</v>
      </c>
      <c r="N144" s="37" t="s">
        <v>0</v>
      </c>
    </row>
    <row r="145" spans="1:16" x14ac:dyDescent="0.25">
      <c r="A145" s="59" t="s">
        <v>63</v>
      </c>
      <c r="B145" s="61">
        <f>+C18*12/2-C43/2+C12</f>
        <v>26.5</v>
      </c>
      <c r="C145" s="39" t="s">
        <v>0</v>
      </c>
      <c r="D145" s="70"/>
      <c r="E145" s="37"/>
      <c r="F145" s="37"/>
      <c r="G145" s="37"/>
      <c r="H145" s="37"/>
      <c r="I145" s="38"/>
      <c r="L145" s="34" t="s">
        <v>64</v>
      </c>
      <c r="M145" s="70">
        <f>MAX(M144/B144,0)</f>
        <v>1.5241787460331075</v>
      </c>
      <c r="N145" s="37"/>
    </row>
    <row r="146" spans="1:16" ht="18" x14ac:dyDescent="0.35">
      <c r="A146" s="59" t="s">
        <v>64</v>
      </c>
      <c r="B146" s="61">
        <f>MAX(B145/B144,0)</f>
        <v>0.45458444120421992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  <c r="L146" s="34" t="s">
        <v>57</v>
      </c>
      <c r="M146" s="37">
        <f>9*C7*C14-C7*0.15*C22*C23*C21/12*((C22/2-C43/2/12)/C22)+C7*U26*U27*C21/12*0.15</f>
        <v>691.16263531434663</v>
      </c>
      <c r="N146" s="37" t="s">
        <v>8</v>
      </c>
    </row>
    <row r="147" spans="1:16" ht="18" x14ac:dyDescent="0.35">
      <c r="A147" s="59" t="s">
        <v>57</v>
      </c>
      <c r="B147" s="68">
        <f>13*C7*C14-C7*0.15*C22*C23*C21/12*((C22/2-C43/2/12)/C22)+C7*U26*U27*C21/12*0.15</f>
        <v>1203.1626353143467</v>
      </c>
      <c r="C147" s="39" t="s">
        <v>18</v>
      </c>
      <c r="D147" s="70"/>
      <c r="E147" s="37"/>
      <c r="F147" s="70"/>
      <c r="G147" s="37"/>
      <c r="H147" s="37"/>
      <c r="I147" s="38"/>
      <c r="L147" s="34" t="s">
        <v>25</v>
      </c>
      <c r="M147" s="37">
        <f>C7*C14*(5*(M144))+C7*C14*(4*(M144+0.866*C18*12))-C7*0.15*C22*C23*C21/12*((C22/2-C43/2/12)/C22)*(C22/2-C43/2/12)*12/2+C7*U26*U27*C21/12*0.15*(C22*12/2-U26*12/3)</f>
        <v>98718.814900817088</v>
      </c>
      <c r="N147" s="37" t="s">
        <v>26</v>
      </c>
    </row>
    <row r="148" spans="1:16" ht="18" x14ac:dyDescent="0.35">
      <c r="A148" s="59" t="s">
        <v>25</v>
      </c>
      <c r="B148" s="68">
        <f>C7*C14*(4*B145)+C7*C14*(5*(B145+0.866*C18*12))+C7*C14*(4*(B145+2*0.866*C18*12))-C7*0.15*C22*C23*C21/12*((C22/2-C43/2/12)/C22)*(C22/2-C43/2/12)*12/2+C7*U26*U27*C21/12*0.15*(C22*12/2-U26*12/3)</f>
        <v>112286.81490081709</v>
      </c>
      <c r="C148" s="39" t="s">
        <v>26</v>
      </c>
      <c r="D148" s="70"/>
      <c r="E148" s="37"/>
      <c r="F148" s="70"/>
      <c r="G148" s="37"/>
      <c r="H148" s="37"/>
      <c r="I148" s="38"/>
      <c r="L148" s="34" t="s">
        <v>65</v>
      </c>
      <c r="M148" s="70">
        <f>+M146*B144/M147</f>
        <v>0.40814231680283625</v>
      </c>
      <c r="N148" s="70"/>
    </row>
    <row r="149" spans="1:16" ht="18" x14ac:dyDescent="0.35">
      <c r="A149" s="59" t="s">
        <v>65</v>
      </c>
      <c r="B149" s="61">
        <f>+B147*B144/B148</f>
        <v>0.62463581220647357</v>
      </c>
      <c r="C149" s="39"/>
      <c r="D149" s="70"/>
      <c r="E149" s="70"/>
      <c r="F149" s="70"/>
      <c r="G149" s="37"/>
      <c r="H149" s="37"/>
      <c r="I149" s="38"/>
      <c r="L149" s="34" t="s">
        <v>66</v>
      </c>
      <c r="M149" s="70">
        <f>1/M148</f>
        <v>2.4501257498449394</v>
      </c>
      <c r="N149" s="70"/>
    </row>
    <row r="150" spans="1:16" ht="18" x14ac:dyDescent="0.35">
      <c r="A150" s="59" t="s">
        <v>415</v>
      </c>
      <c r="B150" s="61">
        <f>1/B149</f>
        <v>1.6009328643319121</v>
      </c>
      <c r="C150" s="39"/>
      <c r="D150" s="70"/>
      <c r="E150" s="70"/>
      <c r="F150" s="70"/>
      <c r="G150" s="37"/>
      <c r="H150" s="37"/>
      <c r="I150" s="38"/>
      <c r="L150" s="34" t="s">
        <v>6</v>
      </c>
      <c r="M150" s="70">
        <f>+MIN(1/M145*(3.5-2.5*M149)*(1.9+0.1*M148),10)</f>
        <v>-3.3429461696297613</v>
      </c>
      <c r="N150" s="70"/>
    </row>
    <row r="151" spans="1:16" ht="18" x14ac:dyDescent="0.35">
      <c r="A151" s="59" t="s">
        <v>6</v>
      </c>
      <c r="B151" s="61">
        <f>+MIN(1/B146*(3.5-2.5*B150)*(1.9+0.1*B149),10)</f>
        <v>-2.1685928552522711</v>
      </c>
      <c r="C151" s="39"/>
      <c r="D151" s="70"/>
      <c r="E151" s="70"/>
      <c r="F151" s="37"/>
      <c r="G151" s="37"/>
      <c r="H151" s="37"/>
      <c r="I151" s="38"/>
      <c r="L151" s="34" t="s">
        <v>12</v>
      </c>
      <c r="M151" s="37">
        <f>0.75*M150*(C10*1000)^0.5/1000*C23*12*B144</f>
        <v>-2939.5379340056697</v>
      </c>
      <c r="N151" s="37" t="s">
        <v>8</v>
      </c>
    </row>
    <row r="152" spans="1:16" ht="18" x14ac:dyDescent="0.35">
      <c r="A152" s="59" t="s">
        <v>12</v>
      </c>
      <c r="B152" s="68">
        <f>0.75*B151*(C10*1000)^0.5/1000*C23*12*B144</f>
        <v>-1906.8990758333769</v>
      </c>
      <c r="C152" s="39" t="s">
        <v>18</v>
      </c>
      <c r="D152" s="37"/>
      <c r="E152" s="37"/>
      <c r="F152" s="37"/>
      <c r="G152" s="37"/>
      <c r="H152" s="37"/>
      <c r="I152" s="38"/>
      <c r="L152" s="34" t="s">
        <v>14</v>
      </c>
      <c r="M152" s="37">
        <f>+M146/M151</f>
        <v>-0.23512628543374789</v>
      </c>
      <c r="N152" s="37"/>
    </row>
    <row r="153" spans="1:16" ht="18" x14ac:dyDescent="0.35">
      <c r="A153" s="59" t="s">
        <v>14</v>
      </c>
      <c r="B153" s="63">
        <f>+B147/B152</f>
        <v>-0.63095244555012731</v>
      </c>
      <c r="C153" s="37"/>
      <c r="D153" s="130" t="s">
        <v>280</v>
      </c>
      <c r="F153" s="16" t="s">
        <v>14</v>
      </c>
      <c r="G153" s="80">
        <f>+IF(B145&gt;0,B153,M152)</f>
        <v>-0.63095244555012731</v>
      </c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  <c r="L156" s="16" t="s">
        <v>83</v>
      </c>
      <c r="O156" s="16">
        <f>+B164/2*B112</f>
        <v>31.367811436149736</v>
      </c>
      <c r="P156" s="16" t="s">
        <v>5</v>
      </c>
    </row>
    <row r="157" spans="1:16" x14ac:dyDescent="0.25">
      <c r="A157" s="59" t="s">
        <v>1</v>
      </c>
      <c r="B157" s="40">
        <f>+C21-C15-C16-P21-L21/2</f>
        <v>56.885000000000005</v>
      </c>
      <c r="C157" s="39" t="s">
        <v>0</v>
      </c>
      <c r="D157" s="37"/>
      <c r="E157" s="37"/>
      <c r="F157" s="37"/>
      <c r="G157" s="37"/>
      <c r="H157" s="37"/>
      <c r="I157" s="38"/>
      <c r="L157" s="34" t="s">
        <v>63</v>
      </c>
      <c r="M157" s="70">
        <f>+C18*12/2-C43/2+C12+C18*12/2</f>
        <v>62.5</v>
      </c>
      <c r="N157" s="37" t="s">
        <v>0</v>
      </c>
    </row>
    <row r="158" spans="1:16" x14ac:dyDescent="0.25">
      <c r="A158" s="59" t="s">
        <v>63</v>
      </c>
      <c r="B158" s="61">
        <f>+C18*12/2-C43/2+C12</f>
        <v>26.5</v>
      </c>
      <c r="C158" s="39" t="s">
        <v>0</v>
      </c>
      <c r="D158" s="70"/>
      <c r="E158" s="37"/>
      <c r="F158" s="37"/>
      <c r="G158" s="37"/>
      <c r="H158" s="37"/>
      <c r="I158" s="38"/>
      <c r="L158" s="34" t="s">
        <v>64</v>
      </c>
      <c r="M158" s="70">
        <f>MAX(M157/B157,0)</f>
        <v>1.0987079194866836</v>
      </c>
      <c r="N158" s="37"/>
    </row>
    <row r="159" spans="1:16" ht="18" x14ac:dyDescent="0.35">
      <c r="A159" s="59" t="s">
        <v>64</v>
      </c>
      <c r="B159" s="61">
        <f>MAX(B158/B157,0)</f>
        <v>0.46585215786235384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  <c r="L159" s="34" t="s">
        <v>57</v>
      </c>
      <c r="M159" s="37">
        <f>8*C7*C14-C7*0.15*C22*C23*C21/12*((C23/2-C43/2/12)/C23)</f>
        <v>537.78798666666671</v>
      </c>
      <c r="N159" s="37" t="s">
        <v>8</v>
      </c>
    </row>
    <row r="160" spans="1:16" ht="18" x14ac:dyDescent="0.35">
      <c r="A160" s="59" t="s">
        <v>57</v>
      </c>
      <c r="B160" s="68">
        <f>12*C7*C14-C7*0.15*C22*C23*C21/12*((C23/2-C43/2/12)/C23)+C7*U26*U27*C21/12*0.15</f>
        <v>1079.1066353143469</v>
      </c>
      <c r="C160" s="39" t="s">
        <v>18</v>
      </c>
      <c r="D160" s="70"/>
      <c r="E160" s="37"/>
      <c r="F160" s="70"/>
      <c r="G160" s="37"/>
      <c r="H160" s="37"/>
      <c r="I160" s="38"/>
      <c r="L160" s="34" t="s">
        <v>25</v>
      </c>
      <c r="M160" s="37">
        <f>C7*C14*(2*(M157))+C7*C14*(4*(M157+C18*12*0.5))+C7*C14*(2*(M157+C18*12*1))-C7*0.15*C22*C23*C21/12*((C23/2-C43/2/12)/C23)*(C23/2-C43/2/12)*12/2</f>
        <v>65248.970023333328</v>
      </c>
      <c r="N160" s="37" t="s">
        <v>26</v>
      </c>
    </row>
    <row r="161" spans="1:32" ht="18" x14ac:dyDescent="0.35">
      <c r="A161" s="59" t="s">
        <v>25</v>
      </c>
      <c r="B161" s="68">
        <f>C7*C14*(4*B158)+C7*C14*(2*(B158+0.5*C18*12))+C7*C14*(4*(B158+1*C18*12))+C7*C14*(2*(B158+1.5*C18*12))-C7*0.15*C22*C23*C21/12*((C23/2-C43/2/12)/C23)*(C23/2-C43/2/12)*12/2+C7*U26*U27*C21/12*0.15*(C23*12/2-U27*12/3)</f>
        <v>83064.890388598389</v>
      </c>
      <c r="C161" s="39" t="s">
        <v>26</v>
      </c>
      <c r="D161" s="70"/>
      <c r="E161" s="37"/>
      <c r="F161" s="70"/>
      <c r="G161" s="37"/>
      <c r="H161" s="37"/>
      <c r="I161" s="38"/>
      <c r="L161" s="34" t="s">
        <v>65</v>
      </c>
      <c r="M161" s="70">
        <f>+M159*B157/M160</f>
        <v>0.46885137973202451</v>
      </c>
      <c r="N161" s="70"/>
    </row>
    <row r="162" spans="1:32" ht="18" x14ac:dyDescent="0.35">
      <c r="A162" s="59" t="s">
        <v>65</v>
      </c>
      <c r="B162" s="61">
        <f>+B160*B157/B161</f>
        <v>0.73900032447743325</v>
      </c>
      <c r="C162" s="39"/>
      <c r="D162" s="70"/>
      <c r="E162" s="70"/>
      <c r="F162" s="70"/>
      <c r="G162" s="37"/>
      <c r="H162" s="37"/>
      <c r="I162" s="38"/>
      <c r="L162" s="34" t="s">
        <v>66</v>
      </c>
      <c r="M162" s="70">
        <f>1/M161</f>
        <v>2.1328720426749248</v>
      </c>
      <c r="N162" s="70"/>
    </row>
    <row r="163" spans="1:32" ht="18" x14ac:dyDescent="0.35">
      <c r="A163" s="59" t="s">
        <v>415</v>
      </c>
      <c r="B163" s="61">
        <f>1/B162</f>
        <v>1.3531793787873185</v>
      </c>
      <c r="C163" s="39"/>
      <c r="D163" s="70"/>
      <c r="E163" s="70"/>
      <c r="F163" s="70"/>
      <c r="G163" s="37"/>
      <c r="H163" s="37"/>
      <c r="I163" s="38"/>
      <c r="L163" s="34" t="s">
        <v>6</v>
      </c>
      <c r="M163" s="70">
        <f>+MIN(1/M158*(3.5-2.5*M162)*(1.9+0.1*M161),10)</f>
        <v>-3.2465809670928816</v>
      </c>
      <c r="N163" s="70"/>
    </row>
    <row r="164" spans="1:32" ht="18" x14ac:dyDescent="0.35">
      <c r="A164" s="59" t="s">
        <v>6</v>
      </c>
      <c r="B164" s="61">
        <f>+MIN(1/B159*(3.5-2.5*B163)*(1.9+0.1*B162),10)</f>
        <v>0.4959686467645526</v>
      </c>
      <c r="C164" s="39"/>
      <c r="D164" s="70"/>
      <c r="E164" s="70"/>
      <c r="F164" s="37"/>
      <c r="G164" s="37"/>
      <c r="H164" s="37"/>
      <c r="I164" s="38"/>
      <c r="L164" s="34" t="s">
        <v>12</v>
      </c>
      <c r="M164" s="37">
        <f>0.75*M163*(C10*1000)^0.5/1000*C22*12*B157</f>
        <v>-3078.4131391782985</v>
      </c>
      <c r="N164" s="37" t="s">
        <v>8</v>
      </c>
    </row>
    <row r="165" spans="1:32" ht="18" x14ac:dyDescent="0.35">
      <c r="A165" s="59" t="s">
        <v>12</v>
      </c>
      <c r="B165" s="68">
        <f>0.75*B164*(C10*1000)^0.5/1000*C22*12*B157</f>
        <v>470.27824480460561</v>
      </c>
      <c r="C165" s="39" t="s">
        <v>18</v>
      </c>
      <c r="D165" s="37"/>
      <c r="E165" s="37"/>
      <c r="F165" s="37"/>
      <c r="G165" s="37"/>
      <c r="H165" s="37"/>
      <c r="I165" s="38"/>
      <c r="L165" s="34" t="s">
        <v>14</v>
      </c>
      <c r="M165" s="37">
        <f>+M159/M164</f>
        <v>-0.17469649535416648</v>
      </c>
      <c r="N165" s="37"/>
    </row>
    <row r="166" spans="1:32" ht="18" x14ac:dyDescent="0.35">
      <c r="A166" s="59" t="s">
        <v>14</v>
      </c>
      <c r="B166" s="63">
        <f>+B160/B165</f>
        <v>2.2946131300687775</v>
      </c>
      <c r="C166" s="37"/>
      <c r="D166" s="130" t="s">
        <v>280</v>
      </c>
      <c r="F166" s="16" t="s">
        <v>14</v>
      </c>
      <c r="G166" s="80">
        <f>+IF(B158&gt;0,B166,M165)</f>
        <v>2.2946131300687775</v>
      </c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58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29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+C23*C22*C21/12/27-2*U26*U27*C21/12/27</f>
        <v>153.82068868898764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78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14212.146000000001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5.8310935238070316</v>
      </c>
      <c r="AF172" s="16" t="s">
        <v>5</v>
      </c>
    </row>
    <row r="173" spans="1:32" ht="18.75" x14ac:dyDescent="0.35">
      <c r="A173" s="34"/>
      <c r="B173" s="40">
        <f>+C66</f>
        <v>22</v>
      </c>
      <c r="C173" s="39" t="s">
        <v>70</v>
      </c>
      <c r="D173" s="72" t="str">
        <f>"#"&amp;+C24</f>
        <v>#11</v>
      </c>
      <c r="E173" s="37" t="s">
        <v>71</v>
      </c>
      <c r="F173" s="37" t="s">
        <v>72</v>
      </c>
      <c r="G173" s="43">
        <f>+C23-0.5</f>
        <v>26</v>
      </c>
      <c r="H173" s="39" t="s">
        <v>73</v>
      </c>
      <c r="I173" s="38"/>
      <c r="Q173" s="16" t="s">
        <v>7</v>
      </c>
      <c r="R173" s="16">
        <f>+R172*T171/1000</f>
        <v>3595.4201439081112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1.7281312499999999</v>
      </c>
      <c r="H174" s="39" t="s">
        <v>73</v>
      </c>
      <c r="I174" s="38"/>
      <c r="Q174" s="16" t="s">
        <v>12</v>
      </c>
      <c r="R174" s="16">
        <f>+R173*0.75</f>
        <v>2696.5651079310833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3039.0994696562498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82.872352500000005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3.0732561307812486E-2</v>
      </c>
    </row>
    <row r="177" spans="1:32" x14ac:dyDescent="0.25">
      <c r="A177" s="34"/>
      <c r="B177" s="40">
        <f>+C84</f>
        <v>22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28.783999999999999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3364.5168897917497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58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29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6403.6163594479995</v>
      </c>
      <c r="D181" s="39" t="s">
        <v>78</v>
      </c>
      <c r="E181" s="37" t="s">
        <v>79</v>
      </c>
      <c r="F181" s="80">
        <f>+C181/2000</f>
        <v>3.2018081797239999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245.03700000000001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22564.146000000001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6.9948294298397116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5708.3275853262148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4281.2456889946607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157.83235250000001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3.6865988071117413E-2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58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29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91.259250000000009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5293.0365000000002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19.562133781809361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1339.0440862724663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1004.2830647043497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103.543088125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0.1031014977390682</v>
      </c>
      <c r="T199" s="16" t="s">
        <v>145</v>
      </c>
      <c r="V199" s="16">
        <f>+(C19*C19+C19*T170+3.1415*T170^2/4/4)/144</f>
        <v>17.983023437499998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58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5128.7079999999996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21.3579042720161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648.73594935707388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486.55196201780541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109.53845450312315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0.22513207849137104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7" orientation="portrait" r:id="rId1"/>
  <headerFooter>
    <oddHeader>&amp;R"CRSI-PILECAP" Program
Version 1.0</oddHeader>
    <oddFooter>&amp;C&amp;P of &amp;N&amp;R&amp;D  &amp;T</oddFooter>
  </headerFooter>
  <rowBreaks count="5" manualBreakCount="5">
    <brk id="44" max="37" man="1"/>
    <brk id="85" max="37" man="1"/>
    <brk id="126" max="37" man="1"/>
    <brk id="167" max="37" man="1"/>
    <brk id="208" max="37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341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18.678525000000004</v>
      </c>
    </row>
    <row r="20" spans="1:17" ht="18" x14ac:dyDescent="0.35">
      <c r="A20" s="34"/>
      <c r="B20" s="36" t="s">
        <v>396</v>
      </c>
      <c r="C20" s="122">
        <v>55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17" ht="18" x14ac:dyDescent="0.35">
      <c r="A21" s="34"/>
      <c r="B21" s="36" t="s">
        <v>397</v>
      </c>
      <c r="C21" s="84">
        <v>68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1.27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2*C19/12+1*C18+4*0.866*C18</f>
        <v>29.283999999999999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1.2667313375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17" x14ac:dyDescent="0.25">
      <c r="A23" s="34"/>
      <c r="B23" s="36" t="s">
        <v>399</v>
      </c>
      <c r="C23" s="122">
        <f>2*C19/12+4*C18</f>
        <v>26.5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10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56.955000000000005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58.295000000000002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58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17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58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29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78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14212.146000000001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applicable",IF(B140&lt;1,"OK","NG"))</f>
        <v>OK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5.8310935238070316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3595.4201439081112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2696.5651079310833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82.872352500000005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3.0732561307812486E-2</v>
      </c>
    </row>
    <row r="41" spans="1:25" ht="18" x14ac:dyDescent="0.35">
      <c r="A41" s="34"/>
      <c r="B41" s="59" t="s">
        <v>22</v>
      </c>
      <c r="C41" s="60">
        <f>C7*28*C14-C7*C22*C23*C21/12*0.15</f>
        <v>2528.6046400000005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25.142616411185216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26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C7*C14*(2*(0.5*C18*12+C12-C43/4))+C7*C14*(4*(1*C18*12+C12-C43/4))+C7*C14*(2*(1.5*C18*12+C12-C43/4))+C7*C14*(4*(2*C18*12+C12-C43/4))-C7*(C23/2-C43/12/4)*C22*C21/12*0.15*(C23/2-C43/12/4)*12/2</f>
        <v>103487.95858333333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3533.9420360378817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56.955000000000005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1.1845796349770055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>
        <f>+C49*C22</f>
        <v>34.689230030666629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>
        <f>+C50*4/3</f>
        <v>46.252306707555505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63.291224841193447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66.714808800000014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66.714808800000014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43.0123392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>
        <f>+IF(C50&gt;C54,C50,IF(C51&gt;C54,C54,IF(C51&gt;C55,C51,C55)))</f>
        <v>46.252306707555505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1.1050566037735849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12.745851851851853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0.95009321669295843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3.6349999999999998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>
        <f>+C50*C58*C59</f>
        <v>36.420457916895224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3.6349999999999998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>
        <f>+MAX(C60,C56)</f>
        <v>46.252306707555505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3.6349999999999998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36.144833655724575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143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>
        <f>+C61/L22</f>
        <v>36.513114768944057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28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36.144833655724575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143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C7*C14*(5*(C18*12/2+C12-C43/4))+C7*C14*(4*((0.5+0.866)*C18*12+C12-C43/4))+C7*C14*(5*((0.5+0.866+0.866)*C18*12+C12-C43/4))-C7*(C22/2-C43/12/4)*C23*C21/12*0.15*(C22/2-C43/12/4)*12/2</f>
        <v>126982.07691997333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4791.7764875461635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58.295000000000002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14.117727272727272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1.5713856915349993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>
        <f>+C72*C23</f>
        <v>41.641720825677481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>
        <f>+C73*4/3</f>
        <v>55.522294434236642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58.621702431445975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61.792699999999996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61.792699999999996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38.923200000000001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>
        <f>+IF(C73&gt;C77,C73,IF(C74&gt;C77,C77,IF(C74&gt;C78,C74,C78)))</f>
        <v>55.522294434236642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159.70400000000001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159.70400000000001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35.559210236918986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23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42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58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+C18*12/2+C12</f>
        <v>39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29</v>
      </c>
      <c r="C88" s="39" t="s">
        <v>0</v>
      </c>
      <c r="D88" s="37"/>
      <c r="E88" s="37"/>
      <c r="F88" s="37"/>
      <c r="G88" s="70"/>
      <c r="H88" s="37"/>
      <c r="I88" s="38"/>
      <c r="J88" s="16" t="s">
        <v>271</v>
      </c>
      <c r="K88" s="51"/>
      <c r="L88" s="51"/>
      <c r="M88" s="51"/>
      <c r="N88" s="51"/>
      <c r="O88" s="51">
        <f>C18*12+C12</f>
        <v>75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+IF(M86&gt;O93,0,IF(M86&gt;O90,10,IF(M86&gt;O89,14,IF(M86&gt;O92,18,IF(M86&gt;O88,22,IF(M86&gt;O91,26,28))))))</f>
        <v>26</v>
      </c>
      <c r="F89" s="37"/>
      <c r="G89" s="37"/>
      <c r="H89" s="37"/>
      <c r="I89" s="38"/>
      <c r="J89" s="16" t="s">
        <v>275</v>
      </c>
      <c r="K89" s="51"/>
      <c r="L89" s="51"/>
      <c r="M89" s="51"/>
      <c r="N89" s="51"/>
      <c r="O89" s="51">
        <f>1.5*C18*12+C12</f>
        <v>111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276</v>
      </c>
      <c r="K90" s="51"/>
      <c r="L90" s="51"/>
      <c r="M90" s="51"/>
      <c r="N90" s="51"/>
      <c r="O90" s="51">
        <f>2*C18*12+C12</f>
        <v>147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336</v>
      </c>
      <c r="C91" s="39" t="s">
        <v>0</v>
      </c>
      <c r="D91" s="37"/>
      <c r="E91" s="37"/>
      <c r="F91" s="37"/>
      <c r="G91" s="37"/>
      <c r="H91" s="37"/>
      <c r="I91" s="38"/>
      <c r="J91" s="16" t="s">
        <v>56</v>
      </c>
      <c r="K91" s="51"/>
      <c r="L91" s="51"/>
      <c r="M91" s="51"/>
      <c r="N91" s="51"/>
      <c r="O91" s="51">
        <f>+C18*12/2+C12</f>
        <v>39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4930.1173633089102</v>
      </c>
      <c r="C92" s="39" t="s">
        <v>18</v>
      </c>
      <c r="D92" s="37" t="s">
        <v>15</v>
      </c>
      <c r="E92" s="37"/>
      <c r="F92" s="37"/>
      <c r="G92" s="37"/>
      <c r="H92" s="37"/>
      <c r="I92" s="38"/>
      <c r="J92" s="16" t="s">
        <v>246</v>
      </c>
      <c r="K92" s="51"/>
      <c r="L92" s="51"/>
      <c r="M92" s="51"/>
      <c r="N92" s="51"/>
      <c r="O92" s="51">
        <f>(0.5+0.866)*C18*12+C12</f>
        <v>101.35200000000002</v>
      </c>
      <c r="P92" s="16" t="s">
        <v>0</v>
      </c>
      <c r="Q92" s="16" t="s">
        <v>119</v>
      </c>
    </row>
    <row r="93" spans="1:17" ht="18" x14ac:dyDescent="0.35">
      <c r="A93" s="59" t="s">
        <v>12</v>
      </c>
      <c r="B93" s="68">
        <f>+B92*0.75</f>
        <v>3697.5880224816829</v>
      </c>
      <c r="C93" s="39" t="s">
        <v>18</v>
      </c>
      <c r="D93" s="37"/>
      <c r="E93" s="37"/>
      <c r="F93" s="37"/>
      <c r="G93" s="37"/>
      <c r="H93" s="37"/>
      <c r="I93" s="38"/>
      <c r="J93" s="16" t="s">
        <v>273</v>
      </c>
      <c r="K93" s="51"/>
      <c r="L93" s="51"/>
      <c r="M93" s="51"/>
      <c r="N93" s="51"/>
      <c r="O93" s="51">
        <f>(0.5+0.866+0.866)*C18*12+C12</f>
        <v>163.70400000000001</v>
      </c>
      <c r="P93" s="16" t="s">
        <v>0</v>
      </c>
      <c r="Q93" s="16" t="s">
        <v>119</v>
      </c>
    </row>
    <row r="94" spans="1:17" ht="18" x14ac:dyDescent="0.35">
      <c r="A94" s="59" t="s">
        <v>57</v>
      </c>
      <c r="B94" s="68">
        <f>+E89*C7*C14-C7*0.15*C22*C23*C21/12+C7*0.15*(2*M86)/12*(2*M86)/12*C21/12</f>
        <v>2339.2446399999999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0.63264069057373962</v>
      </c>
      <c r="C95" s="37"/>
      <c r="D95" s="37"/>
      <c r="E95" s="37"/>
      <c r="F95" s="37"/>
      <c r="G95" s="37"/>
      <c r="H95" s="37"/>
      <c r="I95" s="38"/>
      <c r="L95" s="16" t="s">
        <v>83</v>
      </c>
      <c r="O95" s="16">
        <f>+B90</f>
        <v>252.98221281347034</v>
      </c>
      <c r="P95" s="16" t="s">
        <v>5</v>
      </c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71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58</v>
      </c>
      <c r="C99" s="39" t="s">
        <v>0</v>
      </c>
      <c r="D99" s="37"/>
      <c r="E99" s="37"/>
      <c r="F99" s="37"/>
      <c r="G99" s="37"/>
      <c r="H99" s="37"/>
      <c r="I99" s="38"/>
      <c r="J99" s="16" t="s">
        <v>56</v>
      </c>
      <c r="K99" s="51"/>
      <c r="L99" s="51"/>
      <c r="M99" s="51"/>
      <c r="N99" s="51"/>
      <c r="O99" s="51">
        <f>+C18*12/2+C12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+IF(M98&gt;O101,0,IF(M98&gt;O100,5,IF(M98&gt;O99,9,14)))</f>
        <v>9</v>
      </c>
      <c r="F100" s="37"/>
      <c r="G100" s="37"/>
      <c r="H100" s="37"/>
      <c r="I100" s="38"/>
      <c r="J100" s="16" t="s">
        <v>246</v>
      </c>
      <c r="K100" s="51"/>
      <c r="L100" s="51"/>
      <c r="M100" s="51"/>
      <c r="N100" s="51"/>
      <c r="O100" s="51">
        <f>(0.5+0.866)*C18*12+C12</f>
        <v>101.35200000000002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J101" s="16" t="s">
        <v>273</v>
      </c>
      <c r="K101" s="51"/>
      <c r="L101" s="51"/>
      <c r="M101" s="51"/>
      <c r="N101" s="51"/>
      <c r="O101" s="51">
        <f>(0.5+0.866+0.866)*C18*12+C12</f>
        <v>163.70400000000001</v>
      </c>
      <c r="P101" s="16" t="s">
        <v>0</v>
      </c>
      <c r="Q101" s="16" t="s">
        <v>119</v>
      </c>
    </row>
    <row r="102" spans="1:17" x14ac:dyDescent="0.25">
      <c r="A102" s="59" t="s">
        <v>61</v>
      </c>
      <c r="B102" s="68">
        <f>+C23*12*B99</f>
        <v>18444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2333.0019665658237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1749.7514749243678</v>
      </c>
      <c r="C104" s="39" t="s">
        <v>18</v>
      </c>
      <c r="D104" s="37"/>
      <c r="E104" s="37"/>
      <c r="F104" s="37"/>
      <c r="G104" s="37"/>
      <c r="H104" s="37"/>
      <c r="I104" s="38"/>
      <c r="L104" s="16" t="s">
        <v>83</v>
      </c>
      <c r="O104" s="16">
        <f>+B101</f>
        <v>126.49110640673517</v>
      </c>
      <c r="P104" s="16" t="s">
        <v>5</v>
      </c>
    </row>
    <row r="105" spans="1:17" ht="18" x14ac:dyDescent="0.35">
      <c r="A105" s="59" t="s">
        <v>57</v>
      </c>
      <c r="B105" s="68">
        <f>+E100*C14*C7-C7*0.15*C22*C23*C21/12*((C22/2-M98/12)/C22)</f>
        <v>837.53898666666669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0.4786616834844325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71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58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55</v>
      </c>
      <c r="K110" s="51"/>
      <c r="L110" s="51"/>
      <c r="M110" s="51"/>
      <c r="N110" s="51"/>
      <c r="O110" s="51">
        <f>+C18*12/2+C12</f>
        <v>39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+IF(M109&gt;O113,0,IF(M109&gt;O112,4,IF(M109&gt;O111,6,IF(M109&gt;O111,10,12))))</f>
        <v>12</v>
      </c>
      <c r="F111" s="37"/>
      <c r="G111" s="37"/>
      <c r="H111" s="37"/>
      <c r="I111" s="38"/>
      <c r="J111" s="16" t="s">
        <v>271</v>
      </c>
      <c r="K111" s="51"/>
      <c r="L111" s="51"/>
      <c r="M111" s="51"/>
      <c r="N111" s="51"/>
      <c r="O111" s="51">
        <f>+C18*12+C12</f>
        <v>75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J112" s="16" t="s">
        <v>275</v>
      </c>
      <c r="K112" s="51"/>
      <c r="L112" s="51"/>
      <c r="M112" s="51"/>
      <c r="N112" s="51"/>
      <c r="O112" s="16">
        <f>1.5*C18*12+C12</f>
        <v>111</v>
      </c>
      <c r="Q112" s="16" t="s">
        <v>119</v>
      </c>
    </row>
    <row r="113" spans="1:23" x14ac:dyDescent="0.25">
      <c r="A113" s="59" t="s">
        <v>61</v>
      </c>
      <c r="B113" s="68">
        <f>+C22*12*B110</f>
        <v>20381.664000000001</v>
      </c>
      <c r="C113" s="157" t="s">
        <v>0</v>
      </c>
      <c r="D113" s="37"/>
      <c r="E113" s="37"/>
      <c r="F113" s="37"/>
      <c r="G113" s="37"/>
      <c r="H113" s="37"/>
      <c r="I113" s="38"/>
      <c r="J113" s="16" t="s">
        <v>276</v>
      </c>
      <c r="K113" s="51"/>
      <c r="L113" s="51"/>
      <c r="M113" s="51"/>
      <c r="N113" s="51"/>
      <c r="O113" s="16">
        <f>2*C18*12+C12</f>
        <v>147</v>
      </c>
      <c r="Q113" s="16" t="s">
        <v>119</v>
      </c>
    </row>
    <row r="114" spans="1:23" ht="18.75" x14ac:dyDescent="0.35">
      <c r="A114" s="59" t="s">
        <v>7</v>
      </c>
      <c r="B114" s="68">
        <f>+B112*B113/1000</f>
        <v>2578.0992297703237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23" ht="18" x14ac:dyDescent="0.35">
      <c r="A115" s="59" t="s">
        <v>12</v>
      </c>
      <c r="B115" s="68">
        <f>+B114*0.75</f>
        <v>1933.5744223277429</v>
      </c>
      <c r="C115" s="39" t="s">
        <v>18</v>
      </c>
      <c r="D115" s="37"/>
      <c r="E115" s="37"/>
      <c r="F115" s="37"/>
      <c r="G115" s="37"/>
      <c r="H115" s="37"/>
      <c r="I115" s="38"/>
      <c r="L115" s="16" t="s">
        <v>83</v>
      </c>
      <c r="O115" s="16">
        <f>+B112</f>
        <v>126.49110640673517</v>
      </c>
      <c r="P115" s="16" t="s">
        <v>5</v>
      </c>
    </row>
    <row r="116" spans="1:23" ht="18" x14ac:dyDescent="0.35">
      <c r="A116" s="59" t="s">
        <v>57</v>
      </c>
      <c r="B116" s="68">
        <f>+E111*C14*C7-C7*0.15*C22*C23*C21/12*((C23/2-M109/12)/C23)</f>
        <v>1243.9409066666667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0.64333748538581847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26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2534.9890844444444</v>
      </c>
      <c r="W127" s="37" t="s">
        <v>8</v>
      </c>
    </row>
    <row r="128" spans="1:23" ht="18.75" x14ac:dyDescent="0.35">
      <c r="A128" s="59" t="s">
        <v>1</v>
      </c>
      <c r="B128" s="43">
        <f>+B87</f>
        <v>58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NG, but answer conservative</v>
      </c>
      <c r="U128" s="37" t="s">
        <v>3</v>
      </c>
      <c r="V128" s="37">
        <f>+B133</f>
        <v>252.98221281347034</v>
      </c>
      <c r="W128" s="37" t="s">
        <v>5</v>
      </c>
    </row>
    <row r="129" spans="1:24" ht="18.75" x14ac:dyDescent="0.35">
      <c r="A129" s="59" t="s">
        <v>53</v>
      </c>
      <c r="B129" s="63">
        <f>+B128/2</f>
        <v>29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4" ht="18" x14ac:dyDescent="0.35">
      <c r="A130" s="59"/>
      <c r="B130" s="37"/>
      <c r="C130" s="37"/>
      <c r="D130" s="59" t="s">
        <v>453</v>
      </c>
      <c r="E130" s="72">
        <v>28</v>
      </c>
      <c r="G130" s="37"/>
      <c r="H130" s="37"/>
      <c r="I130" s="38"/>
      <c r="Q130" s="37" t="s">
        <v>16</v>
      </c>
      <c r="R130" s="16">
        <f>+C18*12/2-C43/2+C12</f>
        <v>26</v>
      </c>
      <c r="S130" s="16" t="s">
        <v>0</v>
      </c>
      <c r="U130" s="37" t="s">
        <v>11</v>
      </c>
      <c r="V130" s="37">
        <f>+B135</f>
        <v>336</v>
      </c>
      <c r="W130" s="37" t="s">
        <v>0</v>
      </c>
    </row>
    <row r="131" spans="1:24" ht="18" x14ac:dyDescent="0.35">
      <c r="A131" s="59" t="s">
        <v>452</v>
      </c>
      <c r="B131" s="43">
        <f>+C18*12/2-C43/2+C12</f>
        <v>26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  <c r="Q131" s="37" t="s">
        <v>13</v>
      </c>
      <c r="R131" s="37">
        <f>+C14*E130*C7-C7*0.15*C22*C23*C21/12+C7*0.15*(C43)/12*(C43)/12*C21/12</f>
        <v>2534.9890844444444</v>
      </c>
      <c r="S131" s="37" t="s">
        <v>8</v>
      </c>
      <c r="T131" s="37"/>
      <c r="U131" s="37" t="s">
        <v>2</v>
      </c>
      <c r="V131" s="37">
        <f>+B136</f>
        <v>104</v>
      </c>
      <c r="W131" s="37" t="s">
        <v>0</v>
      </c>
      <c r="X131" s="37"/>
    </row>
    <row r="132" spans="1:24" ht="18.75" x14ac:dyDescent="0.35">
      <c r="A132" s="59" t="s">
        <v>57</v>
      </c>
      <c r="B132" s="68">
        <f>+C14*E130*C7-C7*0.15*C22*C23*C21/12+C7*0.15*(C43)/12*(C43)/12*C21/12</f>
        <v>2534.9890844444444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14.414201183431953</v>
      </c>
      <c r="W132" s="37"/>
      <c r="X132" s="37"/>
    </row>
    <row r="133" spans="1:24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5498.9770590753233</v>
      </c>
      <c r="W133" s="37" t="s">
        <v>8</v>
      </c>
      <c r="X133" s="37"/>
    </row>
    <row r="134" spans="1:24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336</v>
      </c>
      <c r="S134" s="37" t="s">
        <v>0</v>
      </c>
      <c r="T134" s="37"/>
      <c r="U134" s="34" t="s">
        <v>12</v>
      </c>
      <c r="V134" s="37">
        <f>+V133*0.75</f>
        <v>4124.232794306492</v>
      </c>
      <c r="W134" s="37" t="s">
        <v>8</v>
      </c>
      <c r="X134" s="37"/>
    </row>
    <row r="135" spans="1:24" ht="18" x14ac:dyDescent="0.35">
      <c r="A135" s="59" t="s">
        <v>11</v>
      </c>
      <c r="B135" s="61">
        <f>4*(B128+C43)</f>
        <v>336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911.63412783078957</v>
      </c>
      <c r="P135" s="16" t="s">
        <v>5</v>
      </c>
      <c r="Q135" s="37" t="s">
        <v>2</v>
      </c>
      <c r="R135" s="37">
        <f>+B136</f>
        <v>104</v>
      </c>
      <c r="S135" s="37" t="s">
        <v>0</v>
      </c>
      <c r="T135" s="37"/>
      <c r="U135" s="34" t="s">
        <v>14</v>
      </c>
      <c r="V135" s="37">
        <f>+V127/V134</f>
        <v>0.61465712797395911</v>
      </c>
      <c r="W135" s="37"/>
      <c r="X135" s="37"/>
    </row>
    <row r="136" spans="1:24" ht="18" x14ac:dyDescent="0.35">
      <c r="A136" s="59" t="s">
        <v>2</v>
      </c>
      <c r="B136" s="61">
        <f>4*C43</f>
        <v>104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14.414201183431953</v>
      </c>
      <c r="S136" s="37"/>
      <c r="T136" s="37"/>
      <c r="U136" s="34"/>
      <c r="V136" s="37"/>
      <c r="W136" s="37"/>
      <c r="X136" s="37"/>
    </row>
    <row r="137" spans="1:24" ht="18" x14ac:dyDescent="0.35">
      <c r="A137" s="59" t="s">
        <v>6</v>
      </c>
      <c r="B137" s="61">
        <f>IF(2*B128/B131*(1+B128/C43)&lt;32,2*B128/B131*(1+B128/C43),32)</f>
        <v>14.414201183431953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14.414201183431953</v>
      </c>
      <c r="Q137" s="37" t="s">
        <v>7</v>
      </c>
      <c r="R137" s="37">
        <f>+R136*(C10*1000)^0.5*R135*B128/1000</f>
        <v>5498.9770590753233</v>
      </c>
      <c r="S137" s="37" t="s">
        <v>8</v>
      </c>
      <c r="T137" s="37"/>
      <c r="U137" s="34"/>
      <c r="V137" s="37"/>
      <c r="W137" s="37"/>
      <c r="X137" s="37"/>
    </row>
    <row r="138" spans="1:24" ht="18.75" x14ac:dyDescent="0.35">
      <c r="A138" s="59" t="s">
        <v>7</v>
      </c>
      <c r="B138" s="68">
        <f>+B137*(C10*1000)^0.5*B136*B128/1000</f>
        <v>5498.9770590753233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5498.9770590753233</v>
      </c>
      <c r="Q138" s="37" t="s">
        <v>12</v>
      </c>
      <c r="R138" s="37">
        <f>+R137*0.75</f>
        <v>4124.232794306492</v>
      </c>
      <c r="S138" s="37" t="s">
        <v>8</v>
      </c>
      <c r="T138" s="37"/>
      <c r="U138" s="34"/>
      <c r="V138" s="37"/>
      <c r="W138" s="37"/>
      <c r="X138" s="37"/>
    </row>
    <row r="139" spans="1:24" ht="18" x14ac:dyDescent="0.35">
      <c r="A139" s="59" t="s">
        <v>12</v>
      </c>
      <c r="B139" s="68">
        <f>+B138*0.75</f>
        <v>4124.232794306492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0.4609928459804693</v>
      </c>
      <c r="Q139" s="37" t="s">
        <v>14</v>
      </c>
      <c r="R139" s="37">
        <f>+R131/R138</f>
        <v>0.61465712797395911</v>
      </c>
      <c r="S139" s="37"/>
      <c r="T139" s="37"/>
      <c r="U139" s="34"/>
      <c r="V139" s="37"/>
      <c r="W139" s="37"/>
      <c r="X139" s="37"/>
    </row>
    <row r="140" spans="1:24" ht="18" x14ac:dyDescent="0.35">
      <c r="A140" s="59" t="s">
        <v>14</v>
      </c>
      <c r="B140" s="63">
        <f>+B132/B139</f>
        <v>0.61465712797395911</v>
      </c>
      <c r="C140" s="37"/>
      <c r="D140" s="130"/>
      <c r="H140" s="37"/>
      <c r="I140" s="38"/>
    </row>
    <row r="141" spans="1:24" x14ac:dyDescent="0.25">
      <c r="A141" s="34"/>
      <c r="B141" s="37"/>
      <c r="C141" s="37"/>
      <c r="D141" s="37"/>
      <c r="E141" s="37"/>
      <c r="F141" s="37"/>
      <c r="G141" s="37"/>
      <c r="H141" s="37"/>
      <c r="I141" s="38"/>
      <c r="V141" s="16">
        <f>+(V139+X139)/2</f>
        <v>0</v>
      </c>
    </row>
    <row r="142" spans="1:24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4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  <c r="L143" s="16" t="s">
        <v>83</v>
      </c>
      <c r="O143" s="16">
        <f>+B151/2*B101</f>
        <v>-111.83856766189155</v>
      </c>
      <c r="P143" s="16" t="s">
        <v>5</v>
      </c>
    </row>
    <row r="144" spans="1:24" x14ac:dyDescent="0.25">
      <c r="A144" s="59" t="s">
        <v>1</v>
      </c>
      <c r="B144" s="40">
        <f>+C21-C15-C16-P21/2</f>
        <v>58.295000000000002</v>
      </c>
      <c r="C144" s="39" t="s">
        <v>0</v>
      </c>
      <c r="D144" s="37"/>
      <c r="E144" s="37"/>
      <c r="F144" s="37"/>
      <c r="G144" s="37"/>
      <c r="H144" s="37"/>
      <c r="I144" s="38"/>
      <c r="L144" s="34" t="s">
        <v>63</v>
      </c>
      <c r="M144" s="70">
        <f>+C18*12/2-C43/2+C12+0.866*C18*12</f>
        <v>88.352000000000004</v>
      </c>
      <c r="N144" s="37" t="s">
        <v>0</v>
      </c>
    </row>
    <row r="145" spans="1:16" x14ac:dyDescent="0.25">
      <c r="A145" s="59" t="s">
        <v>63</v>
      </c>
      <c r="B145" s="61">
        <f>+C18*12/2-C43/2+C12</f>
        <v>26</v>
      </c>
      <c r="C145" s="39" t="s">
        <v>0</v>
      </c>
      <c r="D145" s="70"/>
      <c r="E145" s="37"/>
      <c r="F145" s="37"/>
      <c r="G145" s="37"/>
      <c r="H145" s="37"/>
      <c r="I145" s="38"/>
      <c r="L145" s="34" t="s">
        <v>64</v>
      </c>
      <c r="M145" s="70">
        <f>MAX(M144/B144,0)</f>
        <v>1.5156016811047259</v>
      </c>
      <c r="N145" s="37"/>
    </row>
    <row r="146" spans="1:16" ht="18" x14ac:dyDescent="0.35">
      <c r="A146" s="59" t="s">
        <v>64</v>
      </c>
      <c r="B146" s="61">
        <f>MAX(B145/B144,0)</f>
        <v>0.44600737627583842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  <c r="L146" s="34" t="s">
        <v>57</v>
      </c>
      <c r="M146" s="37">
        <f>9*C7*C14-C7*0.15*C22*C23*C21/12*((C22/2-C43/2/12)/C22)</f>
        <v>663.3456533333333</v>
      </c>
      <c r="N146" s="37" t="s">
        <v>8</v>
      </c>
    </row>
    <row r="147" spans="1:16" ht="18" x14ac:dyDescent="0.35">
      <c r="A147" s="59" t="s">
        <v>57</v>
      </c>
      <c r="B147" s="68">
        <f>14*C7*C14-C7*0.15*C22*C23*C21/12*((C22/2-C43/2/12)/C22)</f>
        <v>1303.3456533333335</v>
      </c>
      <c r="C147" s="39" t="s">
        <v>18</v>
      </c>
      <c r="D147" s="70"/>
      <c r="E147" s="37"/>
      <c r="F147" s="70"/>
      <c r="G147" s="37"/>
      <c r="H147" s="37"/>
      <c r="I147" s="38"/>
      <c r="L147" s="34" t="s">
        <v>25</v>
      </c>
      <c r="M147" s="37">
        <f>C7*C14*(4*(M144))+C7*C14*(5*(M144+0.866*C18*12))-C7*0.15*C22*C23*C21/12*((C22/2-C43/2/12)/C22)*(C22/2-C43/2/12)*12/2</f>
        <v>101933.77558997332</v>
      </c>
      <c r="N147" s="37" t="s">
        <v>26</v>
      </c>
    </row>
    <row r="148" spans="1:16" ht="18" x14ac:dyDescent="0.35">
      <c r="A148" s="59" t="s">
        <v>25</v>
      </c>
      <c r="B148" s="68">
        <f>C7*C14*(5*B145)+C7*C14*(4*(B145+C18*0.866*12))+C7*C14*(5*(B145+2*0.866*C18*12))-C7*0.15*C22*C23*C21/12*((C22/2-C43/2/12)/C22)*(C22/2-C43/2/12)*12/2</f>
        <v>118573.77558997332</v>
      </c>
      <c r="C148" s="39" t="s">
        <v>26</v>
      </c>
      <c r="D148" s="70"/>
      <c r="E148" s="37"/>
      <c r="F148" s="70"/>
      <c r="G148" s="37"/>
      <c r="H148" s="37"/>
      <c r="I148" s="38"/>
      <c r="L148" s="34" t="s">
        <v>65</v>
      </c>
      <c r="M148" s="70">
        <f>+M146*B144/M147</f>
        <v>0.37936135139951005</v>
      </c>
      <c r="N148" s="70"/>
    </row>
    <row r="149" spans="1:16" ht="18" x14ac:dyDescent="0.35">
      <c r="A149" s="59" t="s">
        <v>65</v>
      </c>
      <c r="B149" s="61">
        <f>+B147*B144/B148</f>
        <v>0.64077014064053706</v>
      </c>
      <c r="C149" s="39"/>
      <c r="D149" s="70"/>
      <c r="E149" s="70"/>
      <c r="F149" s="70"/>
      <c r="G149" s="37"/>
      <c r="H149" s="37"/>
      <c r="I149" s="38"/>
      <c r="L149" s="34" t="s">
        <v>66</v>
      </c>
      <c r="M149" s="70">
        <f>1/M148</f>
        <v>2.6360091672777912</v>
      </c>
      <c r="N149" s="70"/>
    </row>
    <row r="150" spans="1:16" ht="18" x14ac:dyDescent="0.35">
      <c r="A150" s="59" t="s">
        <v>415</v>
      </c>
      <c r="B150" s="61">
        <f>1/B149</f>
        <v>1.5606220336677421</v>
      </c>
      <c r="C150" s="39"/>
      <c r="D150" s="70"/>
      <c r="E150" s="70"/>
      <c r="F150" s="70"/>
      <c r="G150" s="37"/>
      <c r="H150" s="37"/>
      <c r="I150" s="38"/>
      <c r="L150" s="34" t="s">
        <v>6</v>
      </c>
      <c r="M150" s="70">
        <f>+MIN(1/M145*(3.5-2.5*M149)*(1.9+0.1*M148),10)</f>
        <v>-3.9510823630222003</v>
      </c>
      <c r="N150" s="70"/>
    </row>
    <row r="151" spans="1:16" ht="18" x14ac:dyDescent="0.35">
      <c r="A151" s="59" t="s">
        <v>6</v>
      </c>
      <c r="B151" s="61">
        <f>+MIN(1/B146*(3.5-2.5*B150)*(1.9+0.1*B149),10)</f>
        <v>-1.7683230203121469</v>
      </c>
      <c r="C151" s="39"/>
      <c r="D151" s="70"/>
      <c r="E151" s="70"/>
      <c r="F151" s="37"/>
      <c r="G151" s="37"/>
      <c r="H151" s="37"/>
      <c r="I151" s="38"/>
      <c r="L151" s="34" t="s">
        <v>12</v>
      </c>
      <c r="M151" s="37">
        <f>0.75*M150*(C10*1000)^0.5/1000*C23*12*B144</f>
        <v>-3474.2876185083283</v>
      </c>
      <c r="N151" s="37" t="s">
        <v>8</v>
      </c>
    </row>
    <row r="152" spans="1:16" ht="18" x14ac:dyDescent="0.35">
      <c r="A152" s="59" t="s">
        <v>12</v>
      </c>
      <c r="B152" s="68">
        <f>0.75*B151*(C10*1000)^0.5/1000*C23*12*B144</f>
        <v>-1554.9315884912171</v>
      </c>
      <c r="C152" s="39" t="s">
        <v>18</v>
      </c>
      <c r="D152" s="37"/>
      <c r="E152" s="37"/>
      <c r="F152" s="37"/>
      <c r="G152" s="37"/>
      <c r="H152" s="37"/>
      <c r="I152" s="38"/>
      <c r="L152" s="34" t="s">
        <v>14</v>
      </c>
      <c r="M152" s="37">
        <f>+M146/M151</f>
        <v>-0.19092997649346549</v>
      </c>
      <c r="N152" s="37"/>
    </row>
    <row r="153" spans="1:16" ht="18" x14ac:dyDescent="0.35">
      <c r="A153" s="59" t="s">
        <v>14</v>
      </c>
      <c r="B153" s="63">
        <f>+B147/B152</f>
        <v>-0.83820128356772106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  <c r="L156" s="16" t="s">
        <v>83</v>
      </c>
      <c r="O156" s="16">
        <f>+B164/2*B112</f>
        <v>-146.20194655433997</v>
      </c>
      <c r="P156" s="16" t="s">
        <v>5</v>
      </c>
    </row>
    <row r="157" spans="1:16" x14ac:dyDescent="0.25">
      <c r="A157" s="59" t="s">
        <v>1</v>
      </c>
      <c r="B157" s="40">
        <f>+C21-C15-C16-P21-L21/2</f>
        <v>56.955000000000005</v>
      </c>
      <c r="C157" s="39" t="s">
        <v>0</v>
      </c>
      <c r="D157" s="37"/>
      <c r="E157" s="37"/>
      <c r="F157" s="37"/>
      <c r="G157" s="37"/>
      <c r="H157" s="37"/>
      <c r="I157" s="38"/>
      <c r="L157" s="34" t="s">
        <v>63</v>
      </c>
      <c r="M157" s="70">
        <f>+C18*12/2-C43/2+C12+C18*12/2</f>
        <v>62</v>
      </c>
      <c r="N157" s="37" t="s">
        <v>0</v>
      </c>
    </row>
    <row r="158" spans="1:16" x14ac:dyDescent="0.25">
      <c r="A158" s="59" t="s">
        <v>63</v>
      </c>
      <c r="B158" s="61">
        <f>+C18*12/2-C43/2+C12</f>
        <v>26</v>
      </c>
      <c r="C158" s="39" t="s">
        <v>0</v>
      </c>
      <c r="D158" s="70"/>
      <c r="E158" s="37"/>
      <c r="F158" s="37"/>
      <c r="G158" s="37"/>
      <c r="H158" s="37"/>
      <c r="I158" s="38"/>
      <c r="L158" s="34" t="s">
        <v>64</v>
      </c>
      <c r="M158" s="70">
        <f>MAX(M157/B157,0)</f>
        <v>1.0885787024844173</v>
      </c>
      <c r="N158" s="37"/>
    </row>
    <row r="159" spans="1:16" ht="18" x14ac:dyDescent="0.35">
      <c r="A159" s="59" t="s">
        <v>64</v>
      </c>
      <c r="B159" s="61">
        <f>MAX(B158/B157,0)</f>
        <v>0.45650074620314279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  <c r="L159" s="34" t="s">
        <v>57</v>
      </c>
      <c r="M159" s="37">
        <f>10*C7*C14-C7*0.15*C22*C23*C21/12*((C23/2-C43/2/12)/C23)</f>
        <v>795.44741333333332</v>
      </c>
      <c r="N159" s="37" t="s">
        <v>8</v>
      </c>
    </row>
    <row r="160" spans="1:16" ht="18" x14ac:dyDescent="0.35">
      <c r="A160" s="59" t="s">
        <v>57</v>
      </c>
      <c r="B160" s="68">
        <f>12*C7*C14-C7*0.15*C22*C23*C21/12*((C23/2-C43/2/12)/C23)</f>
        <v>1051.4474133333335</v>
      </c>
      <c r="C160" s="39" t="s">
        <v>18</v>
      </c>
      <c r="D160" s="70"/>
      <c r="E160" s="37"/>
      <c r="F160" s="70"/>
      <c r="G160" s="37"/>
      <c r="H160" s="37"/>
      <c r="I160" s="38"/>
      <c r="L160" s="34" t="s">
        <v>25</v>
      </c>
      <c r="M160" s="37">
        <f>C7*C14*(4*(M157))+C7*C14*(2*(M157+C18*12/2))+C7*C14*(4*(M157+1*C18*12))-C7*0.15*C22*C23*C21/12*((C23/2-C43/2/12)/C23)*(C23/2-C43/2/12)*12/2</f>
        <v>90067.661173333327</v>
      </c>
      <c r="N160" s="37" t="s">
        <v>26</v>
      </c>
    </row>
    <row r="161" spans="1:32" ht="18" x14ac:dyDescent="0.35">
      <c r="A161" s="59" t="s">
        <v>25</v>
      </c>
      <c r="B161" s="68">
        <f>C7*C14*(2*B158)+C7*C14*(4*(B158+0.5*C18*12))+C7*C14*(2*(B158+C18*12))+C7*C14*(4*(B158+1.5*C18*12))-C7*0.15*C22*C23*C21/12*((C23/2-C43/2/12)/C23)*(C23/2-C43/2/12)*12/2</f>
        <v>96723.661173333327</v>
      </c>
      <c r="C161" s="39" t="s">
        <v>26</v>
      </c>
      <c r="D161" s="70"/>
      <c r="E161" s="37"/>
      <c r="F161" s="70"/>
      <c r="G161" s="37"/>
      <c r="H161" s="37"/>
      <c r="I161" s="38"/>
      <c r="L161" s="34" t="s">
        <v>65</v>
      </c>
      <c r="M161" s="70">
        <f>+M159*B157/M160</f>
        <v>0.50300748166661113</v>
      </c>
      <c r="N161" s="70"/>
    </row>
    <row r="162" spans="1:32" ht="18" x14ac:dyDescent="0.35">
      <c r="A162" s="59" t="s">
        <v>65</v>
      </c>
      <c r="B162" s="61">
        <f>+B160*B157/B161</f>
        <v>0.6191368968042158</v>
      </c>
      <c r="C162" s="39"/>
      <c r="D162" s="70"/>
      <c r="E162" s="70"/>
      <c r="F162" s="70"/>
      <c r="G162" s="37"/>
      <c r="H162" s="37"/>
      <c r="I162" s="38"/>
      <c r="L162" s="34" t="s">
        <v>66</v>
      </c>
      <c r="M162" s="70">
        <f>1/M161</f>
        <v>1.9880420002635091</v>
      </c>
      <c r="N162" s="70"/>
    </row>
    <row r="163" spans="1:32" ht="18" x14ac:dyDescent="0.35">
      <c r="A163" s="59" t="s">
        <v>415</v>
      </c>
      <c r="B163" s="61">
        <f>1/B162</f>
        <v>1.6151516815774931</v>
      </c>
      <c r="C163" s="39"/>
      <c r="D163" s="70"/>
      <c r="E163" s="70"/>
      <c r="F163" s="70"/>
      <c r="G163" s="37"/>
      <c r="H163" s="37"/>
      <c r="I163" s="38"/>
      <c r="L163" s="34" t="s">
        <v>6</v>
      </c>
      <c r="M163" s="70">
        <f>+MIN(1/M158*(3.5-2.5*M162)*(1.9+0.1*M161),10)</f>
        <v>-2.6338443661673572</v>
      </c>
      <c r="N163" s="70"/>
    </row>
    <row r="164" spans="1:32" ht="18" x14ac:dyDescent="0.35">
      <c r="A164" s="59" t="s">
        <v>6</v>
      </c>
      <c r="B164" s="61">
        <f>+MIN(1/B159*(3.5-2.5*B163)*(1.9+0.1*B162),10)</f>
        <v>-2.3116557473096031</v>
      </c>
      <c r="C164" s="39"/>
      <c r="D164" s="70"/>
      <c r="E164" s="70"/>
      <c r="F164" s="37"/>
      <c r="G164" s="37"/>
      <c r="H164" s="37"/>
      <c r="I164" s="38"/>
      <c r="L164" s="34" t="s">
        <v>12</v>
      </c>
      <c r="M164" s="37">
        <f>0.75*M163*(C10*1000)^0.5/1000*C22*12*B157</f>
        <v>-2500.4885396371324</v>
      </c>
      <c r="N164" s="37" t="s">
        <v>8</v>
      </c>
    </row>
    <row r="165" spans="1:32" ht="18" x14ac:dyDescent="0.35">
      <c r="A165" s="59" t="s">
        <v>12</v>
      </c>
      <c r="B165" s="68">
        <f>0.75*B164*(C10*1000)^0.5/1000*C22*12*B157</f>
        <v>-2194.6128548761371</v>
      </c>
      <c r="C165" s="39" t="s">
        <v>18</v>
      </c>
      <c r="D165" s="37"/>
      <c r="E165" s="37"/>
      <c r="F165" s="37"/>
      <c r="G165" s="37"/>
      <c r="H165" s="37"/>
      <c r="I165" s="38"/>
      <c r="L165" s="34" t="s">
        <v>14</v>
      </c>
      <c r="M165" s="37">
        <f>+M159/M164</f>
        <v>-0.31811680026686612</v>
      </c>
      <c r="N165" s="37"/>
    </row>
    <row r="166" spans="1:32" ht="18" x14ac:dyDescent="0.35">
      <c r="A166" s="59" t="s">
        <v>14</v>
      </c>
      <c r="B166" s="63">
        <f>+B160/B165</f>
        <v>-0.47910382507655397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58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29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162.86965432098765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78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14212.146000000001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5.8310935238070316</v>
      </c>
      <c r="AF172" s="16" t="s">
        <v>5</v>
      </c>
    </row>
    <row r="173" spans="1:32" ht="18.75" x14ac:dyDescent="0.35">
      <c r="A173" s="34"/>
      <c r="B173" s="40">
        <f>+C66</f>
        <v>28</v>
      </c>
      <c r="C173" s="39" t="s">
        <v>70</v>
      </c>
      <c r="D173" s="72" t="str">
        <f>"#"&amp;+C24</f>
        <v>#10</v>
      </c>
      <c r="E173" s="37" t="s">
        <v>71</v>
      </c>
      <c r="F173" s="37" t="s">
        <v>72</v>
      </c>
      <c r="G173" s="43">
        <f>+C23-0.5</f>
        <v>26</v>
      </c>
      <c r="H173" s="39" t="s">
        <v>73</v>
      </c>
      <c r="I173" s="38"/>
      <c r="Q173" s="16" t="s">
        <v>7</v>
      </c>
      <c r="R173" s="16">
        <f>+R172*T171/1000</f>
        <v>3595.4201439081112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1.5565437500000003</v>
      </c>
      <c r="H174" s="39" t="s">
        <v>73</v>
      </c>
      <c r="I174" s="38"/>
      <c r="Q174" s="16" t="s">
        <v>12</v>
      </c>
      <c r="R174" s="16">
        <f>+R173*0.75</f>
        <v>2696.5651079310833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3137.9750188402777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82.872352500000005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3.0732561307812486E-2</v>
      </c>
    </row>
    <row r="177" spans="1:32" x14ac:dyDescent="0.25">
      <c r="A177" s="34"/>
      <c r="B177" s="40">
        <f>+C84</f>
        <v>23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28.783999999999999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3517.4494756913746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58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29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6655.4244945316523</v>
      </c>
      <c r="D181" s="39" t="s">
        <v>78</v>
      </c>
      <c r="E181" s="37" t="s">
        <v>79</v>
      </c>
      <c r="F181" s="80">
        <f>+C181/2000</f>
        <v>3.327712247265826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245.03700000000001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22564.146000000001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6.9948294298397116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5708.3275853262148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4281.2456889946607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157.83235250000001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3.6865988071117413E-2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58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29</v>
      </c>
      <c r="U192" s="16" t="s">
        <v>0</v>
      </c>
      <c r="W192" s="51"/>
    </row>
    <row r="193" spans="1:54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91.259250000000009</v>
      </c>
      <c r="U193" s="16" t="s">
        <v>0</v>
      </c>
      <c r="V193" s="51"/>
      <c r="W193" s="51"/>
    </row>
    <row r="194" spans="1:54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5293.0365000000002</v>
      </c>
      <c r="U194" s="16" t="s">
        <v>34</v>
      </c>
    </row>
    <row r="195" spans="1:54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19.562133781809361</v>
      </c>
      <c r="AF195" s="16" t="s">
        <v>5</v>
      </c>
    </row>
    <row r="196" spans="1:54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1339.0440862724663</v>
      </c>
      <c r="S196" s="16" t="s">
        <v>8</v>
      </c>
      <c r="T196" s="16" t="s">
        <v>87</v>
      </c>
    </row>
    <row r="197" spans="1:54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1004.2830647043497</v>
      </c>
      <c r="S197" s="16" t="s">
        <v>8</v>
      </c>
    </row>
    <row r="198" spans="1:54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103.543088125</v>
      </c>
      <c r="S198" s="16" t="s">
        <v>8</v>
      </c>
      <c r="T198" s="16" t="s">
        <v>344</v>
      </c>
    </row>
    <row r="199" spans="1:54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0.1031014977390682</v>
      </c>
      <c r="T199" s="16" t="s">
        <v>145</v>
      </c>
      <c r="V199" s="16">
        <f>+(C19*C19+C19*T170+3.1415*T170^2/4/4)/144</f>
        <v>17.983023437499998</v>
      </c>
      <c r="W199" s="16" t="s">
        <v>146</v>
      </c>
    </row>
    <row r="200" spans="1:54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4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4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58</v>
      </c>
      <c r="U202" s="16" t="s">
        <v>0</v>
      </c>
      <c r="V202" s="16" t="s">
        <v>52</v>
      </c>
      <c r="W202" s="51"/>
    </row>
    <row r="203" spans="1:54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4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4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5128.7079999999996</v>
      </c>
      <c r="U205" s="16" t="s">
        <v>34</v>
      </c>
    </row>
    <row r="206" spans="1:54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21.3579042720161</v>
      </c>
      <c r="AF206" s="16" t="s">
        <v>5</v>
      </c>
    </row>
    <row r="207" spans="1:54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648.73594935707388</v>
      </c>
      <c r="S207" s="16" t="s">
        <v>8</v>
      </c>
      <c r="T207" s="16" t="s">
        <v>93</v>
      </c>
    </row>
    <row r="208" spans="1:54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486.55196201780541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</row>
    <row r="209" spans="1:54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109.53845450312315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</row>
    <row r="210" spans="1:54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0.22513207849137104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</row>
    <row r="211" spans="1:54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</row>
    <row r="212" spans="1:54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</row>
    <row r="213" spans="1:54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</row>
    <row r="214" spans="1:54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54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54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54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54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6" orientation="portrait" r:id="rId1"/>
  <headerFooter>
    <oddHeader>&amp;R"CRSI-PILECAP" Program
Version 1.0</oddHeader>
    <oddFooter>&amp;C&amp;P of &amp;N&amp;R&amp;D  &amp;T</oddFooter>
  </headerFooter>
  <rowBreaks count="5" manualBreakCount="5">
    <brk id="44" max="37" man="1"/>
    <brk id="85" max="37" man="1"/>
    <brk id="126" max="37" man="1"/>
    <brk id="167" max="37" man="1"/>
    <brk id="208" max="37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10.570312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342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550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1100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36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20.737575</v>
      </c>
    </row>
    <row r="20" spans="1:17" ht="18" x14ac:dyDescent="0.35">
      <c r="A20" s="34"/>
      <c r="B20" s="36" t="s">
        <v>396</v>
      </c>
      <c r="C20" s="122">
        <v>55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20.737575</v>
      </c>
    </row>
    <row r="21" spans="1:17" ht="18" x14ac:dyDescent="0.35">
      <c r="A21" s="34"/>
      <c r="B21" s="36" t="s">
        <v>397</v>
      </c>
      <c r="C21" s="84">
        <v>59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1.41</v>
      </c>
      <c r="M21" s="16" t="s">
        <v>20</v>
      </c>
      <c r="N21" s="16" t="s">
        <v>36</v>
      </c>
      <c r="P21" s="16">
        <f>+IF(C25&lt;9,(C25/8),IF(C25=9,1.128,IF(C25=10,1.27,IF(C25=11,1.41,IF(C25=14,1.693,0)))))</f>
        <v>1.41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2*C19/12+5*C18</f>
        <v>36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1.5614040375</v>
      </c>
      <c r="M22" s="16" t="s">
        <v>34</v>
      </c>
      <c r="N22" s="16" t="s">
        <v>37</v>
      </c>
      <c r="P22" s="16">
        <f>3.1415*P21^2/4</f>
        <v>1.5614040375</v>
      </c>
      <c r="Q22" s="16" t="s">
        <v>34</v>
      </c>
    </row>
    <row r="23" spans="1:17" x14ac:dyDescent="0.25">
      <c r="A23" s="34"/>
      <c r="B23" s="36" t="s">
        <v>399</v>
      </c>
      <c r="C23" s="122">
        <f>2*C19/12+4*C18</f>
        <v>30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11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11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47.885000000000005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49.295000000000002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49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>High capacity pile selected - special details required - see CRSI Pile Cap Design Guide</v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235</v>
      </c>
      <c r="B31" s="37"/>
      <c r="C31" s="37"/>
      <c r="D31" s="37"/>
      <c r="E31" s="37"/>
      <c r="F31" s="49" t="str">
        <f>+IF(C63&gt;C64,"NG; select smaller bar size","OK")</f>
        <v>OK</v>
      </c>
      <c r="G31" s="37"/>
      <c r="H31" s="37"/>
      <c r="I31" s="38"/>
      <c r="J31" s="50" t="s">
        <v>84</v>
      </c>
    </row>
    <row r="32" spans="1:17" x14ac:dyDescent="0.25">
      <c r="A32" s="34" t="s">
        <v>203</v>
      </c>
      <c r="B32" s="37"/>
      <c r="C32" s="37"/>
      <c r="D32" s="37"/>
      <c r="E32" s="37"/>
      <c r="F32" s="49" t="str">
        <f>+IF(B81&gt;B82,"NG; select smaller bar size","OK")</f>
        <v>NG; select smaller bar size</v>
      </c>
      <c r="G32" s="37"/>
      <c r="H32" s="37"/>
      <c r="I32" s="38"/>
      <c r="J32" s="16" t="s">
        <v>1</v>
      </c>
      <c r="M32" s="16">
        <f>+C28</f>
        <v>49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NG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24.5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NG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69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NG</v>
      </c>
      <c r="D35" s="37"/>
      <c r="E35" s="37"/>
      <c r="F35" s="37"/>
      <c r="G35" s="36" t="s">
        <v>338</v>
      </c>
      <c r="H35" s="49" t="str">
        <f>+IF(R188&lt;1,"OK","NG")</f>
        <v>NG</v>
      </c>
      <c r="I35" s="38"/>
      <c r="J35" s="16" t="s">
        <v>85</v>
      </c>
      <c r="K35" s="51"/>
      <c r="L35" s="51"/>
      <c r="M35" s="51">
        <f>+M34*3.1415*M32</f>
        <v>10621.411500000002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applicable",IF(G140&lt;1,"OK","NG"))</f>
        <v>NG</v>
      </c>
      <c r="D36" s="37"/>
      <c r="E36" s="37"/>
      <c r="F36" s="37"/>
      <c r="G36" s="36" t="s">
        <v>339</v>
      </c>
      <c r="H36" s="49" t="str">
        <f>+IF(R199&lt;1,"OK","NG")</f>
        <v>NG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162.81824464608584</v>
      </c>
      <c r="Y36" s="16" t="s">
        <v>5</v>
      </c>
    </row>
    <row r="37" spans="1:25" ht="18.75" x14ac:dyDescent="0.35">
      <c r="A37" s="34" t="s">
        <v>128</v>
      </c>
      <c r="B37" s="37"/>
      <c r="C37" s="49" t="e">
        <f>+IF(B153&lt;1,"OK","NG")</f>
        <v>#DIV/0!</v>
      </c>
      <c r="D37" s="37"/>
      <c r="E37" s="37"/>
      <c r="F37" s="37"/>
      <c r="G37" s="36" t="s">
        <v>340</v>
      </c>
      <c r="H37" s="49" t="str">
        <f>+IF(R210&lt;1,"OK","NG")</f>
        <v>NG</v>
      </c>
      <c r="I37" s="38"/>
      <c r="J37" s="16" t="s">
        <v>7</v>
      </c>
      <c r="K37" s="16">
        <f>+K36*M35/1000</f>
        <v>2687.0281844724418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NG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2015.2711383543315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1729.3595760937501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0.85812749618691186</v>
      </c>
    </row>
    <row r="41" spans="1:25" ht="18" x14ac:dyDescent="0.35">
      <c r="A41" s="34"/>
      <c r="B41" s="59" t="s">
        <v>22</v>
      </c>
      <c r="C41" s="60">
        <f>C7*30*C14-C7*C22*C23*C21/12*0.15</f>
        <v>51525.599999999999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113.49625544483835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114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C7*C14*(6*(1*C18*12+C12-C43/4))+C7*C14*(6*(2*C18*12+C12-C43/4))-C7*(C23/2-C43/12/4)*C22*C21/12*0.15*(C23/2-C43/12/4)*12/2</f>
        <v>1701774.5175000001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47271.514374999999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47.885000000000005</v>
      </c>
      <c r="D48" s="39" t="s">
        <v>0</v>
      </c>
      <c r="E48" s="37"/>
      <c r="F48" s="37"/>
      <c r="G48" s="37"/>
      <c r="H48" s="37"/>
      <c r="I48" s="38"/>
    </row>
    <row r="49" spans="1:15" ht="18" x14ac:dyDescent="0.35">
      <c r="A49" s="34"/>
      <c r="B49" s="36" t="s">
        <v>39</v>
      </c>
      <c r="C49" s="61" t="e">
        <f>IF(C10=3,0.51*C48-(0.26*C48^2-0.0189*C47)^0.5,IF(C10=4,0.68*C48-(0.462*C48^2-0.0252*C47)^0.5, IF(C10=5,0.85*C48-(0.723*C48^2-0.0315*C47)^0.5, 1.02*C48-(1.04*C48^2-0.0378*C47)^0.5)))</f>
        <v>#NUM!</v>
      </c>
      <c r="D49" s="39" t="s">
        <v>406</v>
      </c>
      <c r="E49" s="37"/>
      <c r="F49" s="37"/>
      <c r="G49" s="37"/>
      <c r="H49" s="37"/>
      <c r="I49" s="38"/>
    </row>
    <row r="50" spans="1:15" ht="18" x14ac:dyDescent="0.35">
      <c r="A50" s="34"/>
      <c r="B50" s="36" t="s">
        <v>38</v>
      </c>
      <c r="C50" s="61" t="e">
        <f>+C49*C22</f>
        <v>#NUM!</v>
      </c>
      <c r="D50" s="39" t="s">
        <v>407</v>
      </c>
      <c r="E50" s="37"/>
      <c r="F50" s="37"/>
      <c r="G50" s="37"/>
      <c r="H50" s="37"/>
      <c r="I50" s="38"/>
    </row>
    <row r="51" spans="1:15" ht="18" x14ac:dyDescent="0.35">
      <c r="A51" s="34"/>
      <c r="B51" s="36" t="s">
        <v>42</v>
      </c>
      <c r="C51" s="61" t="e">
        <f>+C50*4/3</f>
        <v>#NUM!</v>
      </c>
      <c r="D51" s="39" t="s">
        <v>407</v>
      </c>
      <c r="E51" s="37"/>
      <c r="F51" s="37"/>
      <c r="G51" s="37"/>
      <c r="H51" s="37"/>
      <c r="I51" s="38"/>
    </row>
    <row r="52" spans="1:15" ht="18.75" x14ac:dyDescent="0.35">
      <c r="A52" s="34"/>
      <c r="B52" s="36" t="s">
        <v>420</v>
      </c>
      <c r="C52" s="61">
        <f>3*(C10*1000)^0.5*C22*12*C48/C11/1000</f>
        <v>65.415887607094362</v>
      </c>
      <c r="D52" s="39" t="s">
        <v>407</v>
      </c>
      <c r="E52" s="37"/>
      <c r="F52" s="37"/>
      <c r="G52" s="37"/>
      <c r="H52" s="37"/>
      <c r="I52" s="38"/>
    </row>
    <row r="53" spans="1:15" ht="18" x14ac:dyDescent="0.35">
      <c r="A53" s="34"/>
      <c r="B53" s="36" t="s">
        <v>421</v>
      </c>
      <c r="C53" s="61">
        <f>200*C22*12*C48/C11/1000</f>
        <v>68.954400000000007</v>
      </c>
      <c r="D53" s="39" t="s">
        <v>407</v>
      </c>
      <c r="E53" s="37"/>
      <c r="F53" s="37"/>
      <c r="G53" s="37"/>
      <c r="H53" s="37"/>
      <c r="I53" s="38"/>
    </row>
    <row r="54" spans="1:15" ht="18" x14ac:dyDescent="0.35">
      <c r="A54" s="34"/>
      <c r="B54" s="36" t="s">
        <v>43</v>
      </c>
      <c r="C54" s="61">
        <f>+MAX(C52:C53)</f>
        <v>68.954400000000007</v>
      </c>
      <c r="D54" s="39" t="s">
        <v>407</v>
      </c>
      <c r="E54" s="37"/>
      <c r="F54" s="37"/>
      <c r="G54" s="37"/>
      <c r="H54" s="37"/>
      <c r="I54" s="38"/>
    </row>
    <row r="55" spans="1:15" ht="18" x14ac:dyDescent="0.35">
      <c r="A55" s="34"/>
      <c r="B55" s="36" t="s">
        <v>408</v>
      </c>
      <c r="C55" s="61">
        <f>+IF(C11=60,0.0018*C22*12*C21,0.002*C22*12*C21)</f>
        <v>45.878399999999999</v>
      </c>
      <c r="D55" s="39" t="s">
        <v>407</v>
      </c>
      <c r="E55" s="37"/>
      <c r="F55" s="37"/>
      <c r="G55" s="37"/>
      <c r="H55" s="37"/>
      <c r="I55" s="38"/>
    </row>
    <row r="56" spans="1:15" ht="18" x14ac:dyDescent="0.35">
      <c r="A56" s="34"/>
      <c r="B56" s="36" t="s">
        <v>40</v>
      </c>
      <c r="C56" s="63" t="e">
        <f>+IF(C50&gt;C54,C50,IF(C51&gt;C54,C54,IF(C51&gt;C55,C51,C55)))</f>
        <v>#NUM!</v>
      </c>
      <c r="D56" s="39" t="s">
        <v>407</v>
      </c>
      <c r="E56" s="37"/>
      <c r="F56" s="37"/>
      <c r="G56" s="37"/>
      <c r="H56" s="37"/>
      <c r="I56" s="38"/>
    </row>
    <row r="57" spans="1:15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  <c r="K57" s="160" t="s">
        <v>204</v>
      </c>
      <c r="L57" s="160"/>
      <c r="M57" s="160"/>
      <c r="N57" s="160"/>
      <c r="O57" s="160"/>
    </row>
    <row r="58" spans="1:15" x14ac:dyDescent="0.25">
      <c r="A58" s="124"/>
      <c r="B58" s="65" t="s">
        <v>44</v>
      </c>
      <c r="C58" s="43">
        <f>+C22/C23</f>
        <v>1.2</v>
      </c>
      <c r="D58" s="39"/>
      <c r="E58" s="37"/>
      <c r="F58" s="37"/>
      <c r="G58" s="37"/>
      <c r="H58" s="37"/>
      <c r="I58" s="38"/>
      <c r="K58" s="160" t="s">
        <v>205</v>
      </c>
      <c r="L58" s="160"/>
      <c r="M58" s="160">
        <f>+((C22*12)-2*(3+L21/2))/(C66-1)</f>
        <v>13.268437499999999</v>
      </c>
      <c r="N58" s="160" t="s">
        <v>0</v>
      </c>
      <c r="O58" s="160"/>
    </row>
    <row r="59" spans="1:15" ht="18" x14ac:dyDescent="0.35">
      <c r="A59" s="124"/>
      <c r="B59" s="65" t="s">
        <v>46</v>
      </c>
      <c r="C59" s="61">
        <f>2/(C58+1)</f>
        <v>0.90909090909090906</v>
      </c>
      <c r="D59" s="39"/>
      <c r="E59" s="37" t="s">
        <v>118</v>
      </c>
      <c r="F59" s="37"/>
      <c r="G59" s="37"/>
      <c r="H59" s="37"/>
      <c r="I59" s="38"/>
      <c r="K59" s="160" t="s">
        <v>206</v>
      </c>
      <c r="L59" s="160"/>
      <c r="M59" s="160">
        <f>3+L21/2</f>
        <v>3.7050000000000001</v>
      </c>
      <c r="N59" s="160" t="s">
        <v>0</v>
      </c>
      <c r="O59" s="160"/>
    </row>
    <row r="60" spans="1:15" ht="18" x14ac:dyDescent="0.35">
      <c r="A60" s="34"/>
      <c r="B60" s="36" t="s">
        <v>45</v>
      </c>
      <c r="C60" s="61" t="e">
        <f>+C50*C58*C59</f>
        <v>#NUM!</v>
      </c>
      <c r="D60" s="39" t="s">
        <v>407</v>
      </c>
      <c r="E60" s="37"/>
      <c r="F60" s="37"/>
      <c r="G60" s="37"/>
      <c r="H60" s="37"/>
      <c r="I60" s="38"/>
      <c r="K60" s="160" t="s">
        <v>207</v>
      </c>
      <c r="L60" s="160"/>
      <c r="M60" s="160">
        <f>+MIN(M58/2,M59)</f>
        <v>3.7050000000000001</v>
      </c>
      <c r="N60" s="160" t="s">
        <v>0</v>
      </c>
      <c r="O60" s="160"/>
    </row>
    <row r="61" spans="1:15" ht="18" x14ac:dyDescent="0.35">
      <c r="A61" s="34"/>
      <c r="B61" s="36" t="s">
        <v>40</v>
      </c>
      <c r="C61" s="61" t="e">
        <f>+MAX(C60,C56)</f>
        <v>#NUM!</v>
      </c>
      <c r="D61" s="39" t="s">
        <v>407</v>
      </c>
      <c r="E61" s="37"/>
      <c r="F61" s="37"/>
      <c r="G61" s="37"/>
      <c r="H61" s="37"/>
      <c r="I61" s="38"/>
      <c r="K61" s="160"/>
      <c r="L61" s="160"/>
      <c r="M61" s="160"/>
      <c r="N61" s="160"/>
      <c r="O61" s="160"/>
    </row>
    <row r="62" spans="1:15" ht="18" x14ac:dyDescent="0.35">
      <c r="A62" s="34"/>
      <c r="B62" s="36" t="s">
        <v>208</v>
      </c>
      <c r="C62" s="164">
        <f>+M60</f>
        <v>3.7050000000000001</v>
      </c>
      <c r="D62" s="39" t="s">
        <v>0</v>
      </c>
      <c r="E62" s="37"/>
      <c r="F62" s="37"/>
      <c r="G62" s="37"/>
      <c r="H62" s="37"/>
      <c r="I62" s="38"/>
      <c r="K62" s="160" t="s">
        <v>210</v>
      </c>
      <c r="L62" s="160"/>
      <c r="M62" s="160">
        <v>1</v>
      </c>
      <c r="N62" s="160"/>
      <c r="O62" s="160" t="s">
        <v>211</v>
      </c>
    </row>
    <row r="63" spans="1:15" ht="18" x14ac:dyDescent="0.35">
      <c r="A63" s="34"/>
      <c r="B63" s="36" t="s">
        <v>209</v>
      </c>
      <c r="C63" s="162">
        <f>+M66</f>
        <v>40.129303507536733</v>
      </c>
      <c r="D63" s="39" t="s">
        <v>0</v>
      </c>
      <c r="E63" s="37"/>
      <c r="F63" s="37"/>
      <c r="G63" s="37"/>
      <c r="H63" s="37"/>
      <c r="I63" s="38"/>
      <c r="K63" s="160" t="s">
        <v>213</v>
      </c>
      <c r="L63" s="160"/>
      <c r="M63" s="160">
        <v>1</v>
      </c>
      <c r="N63" s="160"/>
      <c r="O63" s="160" t="s">
        <v>49</v>
      </c>
    </row>
    <row r="64" spans="1:15" ht="18" x14ac:dyDescent="0.35">
      <c r="A64" s="34"/>
      <c r="B64" s="36" t="s">
        <v>212</v>
      </c>
      <c r="C64" s="162">
        <f>+M67</f>
        <v>120</v>
      </c>
      <c r="D64" s="39" t="s">
        <v>0</v>
      </c>
      <c r="E64" s="37" t="str">
        <f>+IF(C63&gt;C64,"NG; insufficient length available to develop hook","OK; sufficient length available to develop bar")</f>
        <v>OK; sufficient length available to develop bar</v>
      </c>
      <c r="F64" s="37"/>
      <c r="G64" s="37"/>
      <c r="H64" s="37"/>
      <c r="I64" s="38"/>
      <c r="K64" s="160" t="s">
        <v>214</v>
      </c>
      <c r="L64" s="160"/>
      <c r="M64" s="160">
        <f>+IF(C24&gt;6,1,0.8)</f>
        <v>1</v>
      </c>
      <c r="N64" s="160"/>
      <c r="O64" s="160" t="s">
        <v>215</v>
      </c>
    </row>
    <row r="65" spans="1:15" x14ac:dyDescent="0.25">
      <c r="A65" s="34"/>
      <c r="B65" s="36" t="s">
        <v>410</v>
      </c>
      <c r="C65" s="163" t="e">
        <f>+C61/L22</f>
        <v>#NUM!</v>
      </c>
      <c r="D65" s="39"/>
      <c r="E65" s="37"/>
      <c r="F65" s="37"/>
      <c r="G65" s="37"/>
      <c r="H65" s="37"/>
      <c r="I65" s="38"/>
      <c r="K65" s="160" t="s">
        <v>216</v>
      </c>
      <c r="L65" s="160"/>
      <c r="M65" s="160">
        <f>+IF(M60/L21&lt;2.5,M60/L21,2.5)</f>
        <v>2.5</v>
      </c>
      <c r="N65" s="160"/>
      <c r="O65" s="160"/>
    </row>
    <row r="66" spans="1:15" x14ac:dyDescent="0.25">
      <c r="A66" s="34"/>
      <c r="B66" s="36" t="s">
        <v>411</v>
      </c>
      <c r="C66" s="84">
        <v>33</v>
      </c>
      <c r="D66" s="39"/>
      <c r="E66" s="37"/>
      <c r="F66" s="37"/>
      <c r="G66" s="37"/>
      <c r="H66" s="37"/>
      <c r="I66" s="38"/>
      <c r="K66" s="160" t="s">
        <v>217</v>
      </c>
      <c r="L66" s="160"/>
      <c r="M66" s="160">
        <f>3/40*C11*1000/(C10*1000)^0.5*M62*M63*M64/M65*L21</f>
        <v>40.129303507536733</v>
      </c>
      <c r="N66" s="160" t="s">
        <v>0</v>
      </c>
      <c r="O66" s="160"/>
    </row>
    <row r="67" spans="1:15" x14ac:dyDescent="0.25">
      <c r="A67" s="34"/>
      <c r="B67" s="37"/>
      <c r="C67" s="37"/>
      <c r="D67" s="37"/>
      <c r="E67" s="37"/>
      <c r="F67" s="37"/>
      <c r="G67" s="37"/>
      <c r="H67" s="37"/>
      <c r="I67" s="38"/>
      <c r="K67" s="160" t="s">
        <v>218</v>
      </c>
      <c r="L67" s="160"/>
      <c r="M67" s="160">
        <f>+(C23*12)/2-3-C43/2</f>
        <v>120</v>
      </c>
      <c r="N67" s="160" t="s">
        <v>0</v>
      </c>
      <c r="O67" s="160" t="str">
        <f>+IF(M67&gt;M66,"OK; required development length available","NG")</f>
        <v>OK; required development length available</v>
      </c>
    </row>
    <row r="68" spans="1:15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15" ht="18" x14ac:dyDescent="0.35">
      <c r="A69" s="34"/>
      <c r="B69" s="36" t="s">
        <v>25</v>
      </c>
      <c r="C69" s="60">
        <f>C7*C14*(5*(C18*12/2+C12-C43/4))+C7*C14*(5*(1.5*C18*12+C12-C43/4))+C7*C14*(5*(2.5*C18*12+C12-C43/4))-C7*(C22/2-C43/12/4)*C23*C21/12*0.15*(C22/2-C43/12/4)*12/2</f>
        <v>2126144.53125</v>
      </c>
      <c r="D69" s="39" t="s">
        <v>26</v>
      </c>
      <c r="E69" s="37" t="s">
        <v>117</v>
      </c>
      <c r="F69" s="37"/>
      <c r="G69" s="37"/>
      <c r="H69" s="37"/>
      <c r="I69" s="38"/>
    </row>
    <row r="70" spans="1:15" ht="18" x14ac:dyDescent="0.35">
      <c r="A70" s="34"/>
      <c r="B70" s="36" t="s">
        <v>25</v>
      </c>
      <c r="C70" s="68">
        <f>+C69/C23</f>
        <v>70871.484375</v>
      </c>
      <c r="D70" s="39" t="s">
        <v>27</v>
      </c>
      <c r="E70" s="37" t="s">
        <v>28</v>
      </c>
      <c r="F70" s="37"/>
      <c r="G70" s="37"/>
      <c r="H70" s="37"/>
      <c r="I70" s="38"/>
      <c r="K70" s="160" t="s">
        <v>219</v>
      </c>
      <c r="L70" s="160"/>
      <c r="M70" s="160"/>
      <c r="N70" s="160"/>
      <c r="O70" s="160"/>
    </row>
    <row r="71" spans="1:15" x14ac:dyDescent="0.25">
      <c r="A71" s="34"/>
      <c r="B71" s="36" t="s">
        <v>1</v>
      </c>
      <c r="C71" s="44">
        <f>+C21-C15-C16-P21/2</f>
        <v>49.295000000000002</v>
      </c>
      <c r="D71" s="39" t="s">
        <v>0</v>
      </c>
      <c r="E71" s="37"/>
      <c r="F71" s="37"/>
      <c r="G71" s="37"/>
      <c r="H71" s="37"/>
      <c r="I71" s="38"/>
      <c r="K71" s="160" t="s">
        <v>205</v>
      </c>
      <c r="L71" s="160"/>
      <c r="M71" s="160">
        <f>+((C23*12)-2*(3+P21/2))/(C84-1)</f>
        <v>14.103599999999998</v>
      </c>
      <c r="N71" s="160" t="s">
        <v>0</v>
      </c>
      <c r="O71" s="160"/>
    </row>
    <row r="72" spans="1:15" ht="18.75" x14ac:dyDescent="0.35">
      <c r="A72" s="34"/>
      <c r="B72" s="36" t="s">
        <v>39</v>
      </c>
      <c r="C72" s="61" t="e">
        <f>IF(C10=3,0.51*C71-(0.26*C71^2-0.0189*C70)^0.5,IF(C10=4,0.68*C71-(0.462*C71^2-0.0252*C70)^0.5, IF(C10=5,0.85*C71-(0.723*C71^2-0.0315*C70)^0.5, 1.02*C71-(1.04*C71^2-0.0378*C70)^0.5)))</f>
        <v>#NUM!</v>
      </c>
      <c r="D72" s="39" t="s">
        <v>29</v>
      </c>
      <c r="E72" s="37"/>
      <c r="F72" s="37"/>
      <c r="G72" s="37"/>
      <c r="H72" s="37"/>
      <c r="I72" s="38"/>
      <c r="K72" s="160" t="s">
        <v>206</v>
      </c>
      <c r="L72" s="160"/>
      <c r="M72" s="160">
        <f>3+P21/2</f>
        <v>3.7050000000000001</v>
      </c>
      <c r="N72" s="160" t="s">
        <v>0</v>
      </c>
      <c r="O72" s="160"/>
    </row>
    <row r="73" spans="1:15" ht="18.75" x14ac:dyDescent="0.35">
      <c r="A73" s="34"/>
      <c r="B73" s="36" t="s">
        <v>38</v>
      </c>
      <c r="C73" s="61" t="e">
        <f>+C72*C23</f>
        <v>#NUM!</v>
      </c>
      <c r="D73" s="39" t="s">
        <v>34</v>
      </c>
      <c r="E73" s="37"/>
      <c r="F73" s="37"/>
      <c r="G73" s="37"/>
      <c r="H73" s="37"/>
      <c r="I73" s="38"/>
      <c r="K73" s="160" t="s">
        <v>207</v>
      </c>
      <c r="L73" s="160"/>
      <c r="M73" s="160">
        <f>+MIN(M71/2,M72)</f>
        <v>3.7050000000000001</v>
      </c>
      <c r="N73" s="160" t="s">
        <v>0</v>
      </c>
      <c r="O73" s="160"/>
    </row>
    <row r="74" spans="1:15" ht="18.75" x14ac:dyDescent="0.35">
      <c r="A74" s="34"/>
      <c r="B74" s="36" t="s">
        <v>42</v>
      </c>
      <c r="C74" s="61" t="e">
        <f>+C73*4/3</f>
        <v>#NUM!</v>
      </c>
      <c r="D74" s="39" t="s">
        <v>34</v>
      </c>
      <c r="E74" s="37"/>
      <c r="F74" s="37"/>
      <c r="G74" s="37"/>
      <c r="H74" s="37"/>
      <c r="I74" s="38"/>
      <c r="K74" s="160"/>
      <c r="L74" s="160"/>
      <c r="M74" s="160"/>
      <c r="N74" s="160"/>
      <c r="O74" s="160"/>
    </row>
    <row r="75" spans="1:15" ht="18.75" x14ac:dyDescent="0.35">
      <c r="A75" s="34"/>
      <c r="B75" s="36" t="s">
        <v>420</v>
      </c>
      <c r="C75" s="61">
        <f>3*(C10*1000)^0.5*C23*12*C71/C11/1000</f>
        <v>56.118411812880083</v>
      </c>
      <c r="D75" s="39" t="s">
        <v>34</v>
      </c>
      <c r="E75" s="37"/>
      <c r="F75" s="37"/>
      <c r="G75" s="37"/>
      <c r="H75" s="37"/>
      <c r="I75" s="38"/>
      <c r="K75" s="160" t="s">
        <v>210</v>
      </c>
      <c r="L75" s="160"/>
      <c r="M75" s="160">
        <v>1</v>
      </c>
      <c r="N75" s="160"/>
      <c r="O75" s="160" t="s">
        <v>211</v>
      </c>
    </row>
    <row r="76" spans="1:15" ht="18.75" x14ac:dyDescent="0.35">
      <c r="A76" s="34"/>
      <c r="B76" s="36" t="s">
        <v>421</v>
      </c>
      <c r="C76" s="61">
        <f>200*C23*12*C71/C11/1000</f>
        <v>59.154000000000003</v>
      </c>
      <c r="D76" s="39" t="s">
        <v>34</v>
      </c>
      <c r="E76" s="37"/>
      <c r="F76" s="37"/>
      <c r="G76" s="37"/>
      <c r="H76" s="37"/>
      <c r="I76" s="38"/>
      <c r="K76" s="160" t="s">
        <v>213</v>
      </c>
      <c r="L76" s="160"/>
      <c r="M76" s="160">
        <v>1</v>
      </c>
      <c r="N76" s="160"/>
      <c r="O76" s="160" t="s">
        <v>49</v>
      </c>
    </row>
    <row r="77" spans="1:15" ht="18.75" x14ac:dyDescent="0.35">
      <c r="A77" s="34"/>
      <c r="B77" s="36" t="s">
        <v>43</v>
      </c>
      <c r="C77" s="61">
        <f>+MAX(C75:C76)</f>
        <v>59.154000000000003</v>
      </c>
      <c r="D77" s="39" t="s">
        <v>34</v>
      </c>
      <c r="E77" s="37"/>
      <c r="F77" s="37"/>
      <c r="G77" s="37"/>
      <c r="H77" s="37"/>
      <c r="I77" s="38"/>
      <c r="K77" s="160" t="s">
        <v>214</v>
      </c>
      <c r="L77" s="160"/>
      <c r="M77" s="160">
        <f>+IF(C25&gt;6,1,0.8)</f>
        <v>1</v>
      </c>
      <c r="N77" s="160"/>
      <c r="O77" s="160" t="s">
        <v>215</v>
      </c>
    </row>
    <row r="78" spans="1:15" ht="18.75" x14ac:dyDescent="0.35">
      <c r="A78" s="34"/>
      <c r="B78" s="36" t="s">
        <v>408</v>
      </c>
      <c r="C78" s="61">
        <f>+IF(C11=60,0.0018*C23*12*C21,0.002*C23*12*C21)</f>
        <v>38.231999999999999</v>
      </c>
      <c r="D78" s="39" t="s">
        <v>34</v>
      </c>
      <c r="E78" s="37"/>
      <c r="F78" s="37"/>
      <c r="G78" s="37"/>
      <c r="H78" s="37"/>
      <c r="I78" s="38"/>
      <c r="K78" s="160" t="s">
        <v>216</v>
      </c>
      <c r="L78" s="160"/>
      <c r="M78" s="160">
        <f>+IF(M73/P21&lt;2.5,M73/P21,2.5)</f>
        <v>2.5</v>
      </c>
      <c r="N78" s="160"/>
      <c r="O78" s="160"/>
    </row>
    <row r="79" spans="1:15" ht="18.75" x14ac:dyDescent="0.35">
      <c r="A79" s="34"/>
      <c r="B79" s="36" t="s">
        <v>40</v>
      </c>
      <c r="C79" s="61" t="e">
        <f>+IF(C73&gt;C77,C73,IF(C74&gt;C77,C77,IF(C74&gt;C78,C74,C78)))</f>
        <v>#NUM!</v>
      </c>
      <c r="D79" s="39" t="s">
        <v>34</v>
      </c>
      <c r="E79" s="37"/>
      <c r="F79" s="37"/>
      <c r="G79" s="37"/>
      <c r="H79" s="37"/>
      <c r="I79" s="38"/>
      <c r="K79" s="160" t="s">
        <v>217</v>
      </c>
      <c r="L79" s="160"/>
      <c r="M79" s="160">
        <f>3/40*C11*1000/(C10*1000)^0.5*M75*M76*M77/M78*P21</f>
        <v>40.129303507536733</v>
      </c>
      <c r="N79" s="160" t="s">
        <v>0</v>
      </c>
      <c r="O79" s="160"/>
    </row>
    <row r="80" spans="1:15" ht="18" x14ac:dyDescent="0.35">
      <c r="A80" s="34"/>
      <c r="B80" s="161" t="s">
        <v>208</v>
      </c>
      <c r="C80" s="68">
        <f>+M73</f>
        <v>3.7050000000000001</v>
      </c>
      <c r="D80" s="39" t="s">
        <v>0</v>
      </c>
      <c r="E80" s="37"/>
      <c r="F80" s="37"/>
      <c r="G80" s="37"/>
      <c r="H80" s="37"/>
      <c r="I80" s="38"/>
      <c r="K80" s="160" t="s">
        <v>218</v>
      </c>
      <c r="L80" s="160"/>
      <c r="M80" s="160">
        <f>+(C22*12)/2-3-C43/2</f>
        <v>156</v>
      </c>
      <c r="N80" s="160" t="s">
        <v>0</v>
      </c>
      <c r="O80" s="160" t="str">
        <f>+IF(M80&gt;M79,"OK; required development length available","NG")</f>
        <v>OK; required development length available</v>
      </c>
    </row>
    <row r="81" spans="1:17" ht="18" x14ac:dyDescent="0.35">
      <c r="A81" s="34"/>
      <c r="B81" s="161" t="s">
        <v>209</v>
      </c>
      <c r="C81" s="61">
        <f>+M79</f>
        <v>40.129303507536733</v>
      </c>
      <c r="D81" s="39" t="s">
        <v>0</v>
      </c>
      <c r="E81" s="37"/>
      <c r="F81" s="37"/>
      <c r="G81" s="37"/>
      <c r="H81" s="37"/>
      <c r="I81" s="38"/>
    </row>
    <row r="82" spans="1:17" ht="18" x14ac:dyDescent="0.35">
      <c r="A82" s="34"/>
      <c r="B82" s="161" t="s">
        <v>212</v>
      </c>
      <c r="C82" s="61">
        <f>+M80</f>
        <v>156</v>
      </c>
      <c r="D82" s="39" t="s">
        <v>0</v>
      </c>
      <c r="E82" s="37" t="str">
        <f>+IF(C81&gt;C82,"NG; insufficient length available to develop hook","OK; sufficient length available to develop bar")</f>
        <v>OK; sufficient length available to develop bar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 t="e">
        <f>+C79/P22</f>
        <v>#NUM!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26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81.5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49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+C18*12+C12</f>
        <v>75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24.5</v>
      </c>
      <c r="C88" s="39" t="s">
        <v>0</v>
      </c>
      <c r="D88" s="37"/>
      <c r="E88" s="37"/>
      <c r="F88" s="37"/>
      <c r="G88" s="70"/>
      <c r="H88" s="37"/>
      <c r="I88" s="38"/>
      <c r="J88" s="16" t="s">
        <v>271</v>
      </c>
      <c r="K88" s="51"/>
      <c r="L88" s="51"/>
      <c r="M88" s="51"/>
      <c r="N88" s="51"/>
      <c r="O88" s="51">
        <f>2*C18*12+C12</f>
        <v>147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+IF(M86&gt;O91,0,IF(M86&gt;O88,10,IF(M86&gt;O90,18,IF(M86&gt;O87,24,IF(M86&gt;O89,28,30)))))</f>
        <v>24</v>
      </c>
      <c r="F89" s="37"/>
      <c r="G89" s="37"/>
      <c r="H89" s="37"/>
      <c r="I89" s="38"/>
      <c r="J89" s="16" t="s">
        <v>56</v>
      </c>
      <c r="K89" s="51"/>
      <c r="L89" s="51"/>
      <c r="M89" s="51"/>
      <c r="N89" s="51"/>
      <c r="O89" s="51">
        <f>+C18*12/2+C12</f>
        <v>39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  <c r="J90" s="16" t="s">
        <v>246</v>
      </c>
      <c r="K90" s="51"/>
      <c r="L90" s="51"/>
      <c r="M90" s="51"/>
      <c r="N90" s="51"/>
      <c r="O90" s="51">
        <f>1.5*C18*12+C12</f>
        <v>111</v>
      </c>
      <c r="P90" s="16" t="s">
        <v>0</v>
      </c>
      <c r="Q90" s="16" t="s">
        <v>119</v>
      </c>
    </row>
    <row r="91" spans="1:17" ht="18" x14ac:dyDescent="0.35">
      <c r="A91" s="59" t="s">
        <v>11</v>
      </c>
      <c r="B91" s="68">
        <f>4*(B87+C43)</f>
        <v>652</v>
      </c>
      <c r="C91" s="39" t="s">
        <v>0</v>
      </c>
      <c r="D91" s="37"/>
      <c r="E91" s="37"/>
      <c r="F91" s="37"/>
      <c r="G91" s="37"/>
      <c r="H91" s="37"/>
      <c r="I91" s="38"/>
      <c r="J91" s="16" t="s">
        <v>273</v>
      </c>
      <c r="K91" s="51"/>
      <c r="L91" s="51"/>
      <c r="M91" s="51"/>
      <c r="N91" s="51"/>
      <c r="O91" s="51">
        <f>2.5*C18*12+C12</f>
        <v>183</v>
      </c>
      <c r="P91" s="16" t="s">
        <v>0</v>
      </c>
      <c r="Q91" s="16" t="s">
        <v>119</v>
      </c>
    </row>
    <row r="92" spans="1:17" ht="18.75" x14ac:dyDescent="0.35">
      <c r="A92" s="59" t="s">
        <v>7</v>
      </c>
      <c r="B92" s="68">
        <f>+B90*B91*B87/1000</f>
        <v>8082.2757349647509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6061.7068012235632</v>
      </c>
      <c r="C93" s="39" t="s">
        <v>18</v>
      </c>
      <c r="D93" s="37"/>
      <c r="E93" s="37"/>
      <c r="F93" s="37"/>
      <c r="G93" s="37"/>
      <c r="H93" s="37"/>
      <c r="I93" s="38"/>
      <c r="L93" s="16" t="s">
        <v>83</v>
      </c>
      <c r="O93" s="16">
        <f>+B90</f>
        <v>252.98221281347034</v>
      </c>
      <c r="P93" s="16" t="s">
        <v>5</v>
      </c>
    </row>
    <row r="94" spans="1:17" ht="18" x14ac:dyDescent="0.35">
      <c r="A94" s="59" t="s">
        <v>57</v>
      </c>
      <c r="B94" s="68">
        <f>+E89*C7*C14-C7*0.15*C22*C23*C21/12+C7*0.15*(2*M86)/12*(2*M86)/12*C21/12</f>
        <v>41183.318194444451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6.7940135583812049</v>
      </c>
      <c r="C95" s="37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106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49</v>
      </c>
      <c r="C99" s="39" t="s">
        <v>0</v>
      </c>
      <c r="D99" s="37"/>
      <c r="E99" s="37"/>
      <c r="F99" s="37"/>
      <c r="G99" s="37"/>
      <c r="H99" s="37"/>
      <c r="I99" s="38"/>
      <c r="J99" s="16" t="s">
        <v>56</v>
      </c>
      <c r="K99" s="51"/>
      <c r="L99" s="51"/>
      <c r="M99" s="51"/>
      <c r="N99" s="51"/>
      <c r="O99" s="51">
        <f>+C18*12/2+C12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+IF(M98&gt;O101,0,IF(M98&gt;O100,5,IF(M98&gt;O99,10,15)))</f>
        <v>10</v>
      </c>
      <c r="F100" s="37"/>
      <c r="G100" s="37"/>
      <c r="H100" s="37"/>
      <c r="I100" s="38"/>
      <c r="J100" s="16" t="s">
        <v>246</v>
      </c>
      <c r="K100" s="51"/>
      <c r="L100" s="51"/>
      <c r="M100" s="51"/>
      <c r="N100" s="51"/>
      <c r="O100" s="51">
        <f>1.5*C18*12+C12</f>
        <v>111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J101" s="16" t="s">
        <v>273</v>
      </c>
      <c r="K101" s="51"/>
      <c r="L101" s="51"/>
      <c r="M101" s="51"/>
      <c r="N101" s="51"/>
      <c r="O101" s="51">
        <f>2.5*C18*12+C12</f>
        <v>183</v>
      </c>
      <c r="P101" s="16" t="s">
        <v>0</v>
      </c>
      <c r="Q101" s="16" t="s">
        <v>119</v>
      </c>
    </row>
    <row r="102" spans="1:17" x14ac:dyDescent="0.25">
      <c r="A102" s="59" t="s">
        <v>61</v>
      </c>
      <c r="B102" s="68">
        <f>+C23*12*B99</f>
        <v>17640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2231.3031170148088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1673.4773377611066</v>
      </c>
      <c r="C104" s="39" t="s">
        <v>18</v>
      </c>
      <c r="D104" s="37"/>
      <c r="E104" s="37"/>
      <c r="F104" s="37"/>
      <c r="G104" s="37"/>
      <c r="H104" s="37"/>
      <c r="I104" s="38"/>
      <c r="L104" s="16" t="s">
        <v>83</v>
      </c>
      <c r="O104" s="16">
        <f>+B101</f>
        <v>126.49110640673517</v>
      </c>
      <c r="P104" s="16" t="s">
        <v>5</v>
      </c>
    </row>
    <row r="105" spans="1:17" ht="18" x14ac:dyDescent="0.35">
      <c r="A105" s="59" t="s">
        <v>57</v>
      </c>
      <c r="B105" s="68">
        <f>+E100*C14*C7-C7*0.15*C22*C23*C21/12*((C22/2-M98/12)/C22)</f>
        <v>17275.5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10.323115593015652</v>
      </c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106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49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+C18*12+C12</f>
        <v>75</v>
      </c>
      <c r="P110" s="16" t="s">
        <v>0</v>
      </c>
      <c r="Q110" s="16" t="s">
        <v>119</v>
      </c>
    </row>
    <row r="111" spans="1:17" x14ac:dyDescent="0.25">
      <c r="A111" s="125"/>
      <c r="B111" s="70"/>
      <c r="C111" s="157"/>
      <c r="D111" s="59" t="s">
        <v>414</v>
      </c>
      <c r="E111" s="72">
        <f>+IF(M109&gt;O111,0,IF(M109&gt;O110,6,12))</f>
        <v>6</v>
      </c>
      <c r="F111" s="37"/>
      <c r="G111" s="37"/>
      <c r="H111" s="37"/>
      <c r="I111" s="38"/>
      <c r="J111" s="16" t="s">
        <v>271</v>
      </c>
      <c r="K111" s="51"/>
      <c r="L111" s="51"/>
      <c r="M111" s="51"/>
      <c r="N111" s="51"/>
      <c r="O111" s="51">
        <f>2*C18*12+C12</f>
        <v>147</v>
      </c>
      <c r="P111" s="16" t="s">
        <v>0</v>
      </c>
      <c r="Q111" s="16" t="s">
        <v>119</v>
      </c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</row>
    <row r="113" spans="1:23" x14ac:dyDescent="0.25">
      <c r="A113" s="59" t="s">
        <v>61</v>
      </c>
      <c r="B113" s="68">
        <f>+C22*12*B110</f>
        <v>21168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2677.5637404177701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23" ht="18" x14ac:dyDescent="0.35">
      <c r="A115" s="59" t="s">
        <v>12</v>
      </c>
      <c r="B115" s="68">
        <f>+B114*0.75</f>
        <v>2008.1728053133274</v>
      </c>
      <c r="C115" s="39" t="s">
        <v>18</v>
      </c>
      <c r="D115" s="37"/>
      <c r="E115" s="37"/>
      <c r="F115" s="37"/>
      <c r="G115" s="37"/>
      <c r="H115" s="37"/>
      <c r="I115" s="38"/>
      <c r="L115" s="16" t="s">
        <v>83</v>
      </c>
      <c r="O115" s="16">
        <f>+B112</f>
        <v>126.49110640673517</v>
      </c>
      <c r="P115" s="16" t="s">
        <v>5</v>
      </c>
    </row>
    <row r="116" spans="1:23" ht="18" x14ac:dyDescent="0.35">
      <c r="A116" s="59" t="s">
        <v>57</v>
      </c>
      <c r="B116" s="68">
        <f>+E111*C14*C7-C7*0.15*C22*C23*C21/12*((C23/2-M109/12)/C23)</f>
        <v>10298.040000000001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5.1280646629378284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0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51632.095000000001</v>
      </c>
      <c r="W127" s="37" t="s">
        <v>8</v>
      </c>
    </row>
    <row r="128" spans="1:23" ht="18.75" x14ac:dyDescent="0.35">
      <c r="A128" s="59" t="s">
        <v>1</v>
      </c>
      <c r="B128" s="43">
        <f>+B87</f>
        <v>49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NG, but answer conservative</v>
      </c>
      <c r="U128" s="37" t="s">
        <v>3</v>
      </c>
      <c r="V128" s="37">
        <f>+B133</f>
        <v>252.98221281347034</v>
      </c>
      <c r="W128" s="37" t="s">
        <v>5</v>
      </c>
    </row>
    <row r="129" spans="1:24" ht="18.75" x14ac:dyDescent="0.35">
      <c r="A129" s="59" t="s">
        <v>53</v>
      </c>
      <c r="B129" s="63">
        <f>+B128/2</f>
        <v>24.5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4" ht="18" x14ac:dyDescent="0.35">
      <c r="A130" s="125"/>
      <c r="B130" s="37"/>
      <c r="C130" s="37"/>
      <c r="D130" s="59" t="s">
        <v>453</v>
      </c>
      <c r="E130" s="72">
        <v>30</v>
      </c>
      <c r="G130" s="37"/>
      <c r="H130" s="37"/>
      <c r="I130" s="38"/>
      <c r="K130" s="16">
        <v>1</v>
      </c>
      <c r="L130" s="37" t="s">
        <v>14</v>
      </c>
      <c r="M130" s="37">
        <f>+IF(B131&gt;0,B140,V139)</f>
        <v>0</v>
      </c>
      <c r="Q130" s="37" t="s">
        <v>16</v>
      </c>
      <c r="R130" s="16">
        <f>+C18*12-C43/2+C12</f>
        <v>18</v>
      </c>
      <c r="S130" s="16" t="s">
        <v>0</v>
      </c>
      <c r="U130" s="37" t="s">
        <v>11</v>
      </c>
      <c r="V130" s="37">
        <f>+B135</f>
        <v>652</v>
      </c>
      <c r="W130" s="37" t="s">
        <v>0</v>
      </c>
    </row>
    <row r="131" spans="1:24" ht="18" x14ac:dyDescent="0.35">
      <c r="A131" s="59" t="s">
        <v>16</v>
      </c>
      <c r="B131" s="43">
        <f>+C18*12/2-C43/2+C12</f>
        <v>-18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  <c r="K131" s="16">
        <v>2</v>
      </c>
      <c r="L131" s="37" t="s">
        <v>14</v>
      </c>
      <c r="M131" s="37">
        <f>+IF(R130&gt;0,R139,X139)</f>
        <v>6.2579377930281401</v>
      </c>
      <c r="Q131" s="37" t="s">
        <v>13</v>
      </c>
      <c r="R131" s="37">
        <f>+C14*E130*C7-C7*0.15*C22*C23*C21/12+C7*0.15*(C43)/12*(C43)/12*C21/12</f>
        <v>51632.095000000001</v>
      </c>
      <c r="S131" s="37" t="s">
        <v>8</v>
      </c>
      <c r="T131" s="37"/>
      <c r="U131" s="37" t="s">
        <v>2</v>
      </c>
      <c r="V131" s="37">
        <f>+B136</f>
        <v>456</v>
      </c>
      <c r="W131" s="37" t="s">
        <v>0</v>
      </c>
      <c r="X131" s="37"/>
    </row>
    <row r="132" spans="1:24" ht="18.75" x14ac:dyDescent="0.35">
      <c r="A132" s="59" t="s">
        <v>13</v>
      </c>
      <c r="B132" s="68">
        <f>+C14*E130*C7-C7*0.15*C22*C23*C21/12+C7*0.15*(C43)/12*(C43)/12*C21/12</f>
        <v>51632.095000000001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 t="e">
        <f>IF(2*B128/V126*(1+B128/C43)&lt;32,2*B128/V126*(1+B128/C43),32)</f>
        <v>#DIV/0!</v>
      </c>
      <c r="W132" s="37"/>
      <c r="X132" s="37"/>
    </row>
    <row r="133" spans="1:24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 t="e">
        <f>+V132*(C10*1000)^0.5*V131*B128/1000</f>
        <v>#DIV/0!</v>
      </c>
      <c r="W133" s="37" t="s">
        <v>8</v>
      </c>
      <c r="X133" s="37"/>
    </row>
    <row r="134" spans="1:24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652</v>
      </c>
      <c r="S134" s="37" t="s">
        <v>0</v>
      </c>
      <c r="T134" s="37"/>
      <c r="U134" s="34" t="s">
        <v>12</v>
      </c>
      <c r="V134" s="37" t="e">
        <f>+V133*0.75</f>
        <v>#DIV/0!</v>
      </c>
      <c r="W134" s="37" t="s">
        <v>8</v>
      </c>
      <c r="X134" s="37"/>
    </row>
    <row r="135" spans="1:24" ht="18" x14ac:dyDescent="0.35">
      <c r="A135" s="59" t="s">
        <v>11</v>
      </c>
      <c r="B135" s="61">
        <f>4*(B128+C43)</f>
        <v>652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-492.34135812407106</v>
      </c>
      <c r="P135" s="16" t="s">
        <v>5</v>
      </c>
      <c r="Q135" s="37" t="s">
        <v>2</v>
      </c>
      <c r="R135" s="37">
        <f>+B136</f>
        <v>456</v>
      </c>
      <c r="S135" s="37" t="s">
        <v>0</v>
      </c>
      <c r="T135" s="37"/>
      <c r="U135" s="34" t="s">
        <v>14</v>
      </c>
      <c r="V135" s="37" t="e">
        <f>+V127/V134</f>
        <v>#DIV/0!</v>
      </c>
      <c r="W135" s="37"/>
      <c r="X135" s="37"/>
    </row>
    <row r="136" spans="1:24" ht="18" x14ac:dyDescent="0.35">
      <c r="A136" s="59" t="s">
        <v>2</v>
      </c>
      <c r="B136" s="61">
        <f>4*C43</f>
        <v>456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7.7846003898635479</v>
      </c>
      <c r="S136" s="37"/>
      <c r="T136" s="37" t="s">
        <v>9</v>
      </c>
      <c r="U136" s="34"/>
      <c r="V136" s="37"/>
      <c r="W136" s="37"/>
      <c r="X136" s="37"/>
    </row>
    <row r="137" spans="1:24" ht="18.75" x14ac:dyDescent="0.35">
      <c r="A137" s="59" t="s">
        <v>6</v>
      </c>
      <c r="B137" s="61">
        <f>IF(2*B128/B131*(1+B128/C43)&lt;32,2*B128/B131*(1+B128/C43),32)</f>
        <v>-7.7846003898635479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0</v>
      </c>
      <c r="Q137" s="37" t="s">
        <v>7</v>
      </c>
      <c r="R137" s="37">
        <f>+R136*(C10*1000)^0.5*R135*B128/1000</f>
        <v>11000.875305924244</v>
      </c>
      <c r="S137" s="37" t="s">
        <v>8</v>
      </c>
      <c r="T137" s="37" t="s">
        <v>10</v>
      </c>
      <c r="U137" s="34"/>
      <c r="V137" s="37"/>
      <c r="W137" s="37"/>
      <c r="X137" s="37"/>
    </row>
    <row r="138" spans="1:24" ht="18.75" x14ac:dyDescent="0.35">
      <c r="A138" s="59" t="s">
        <v>7</v>
      </c>
      <c r="B138" s="68">
        <f>+B137*(C10*1000)^0.5*B136*B128/1000</f>
        <v>-11000.875305924244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0</v>
      </c>
      <c r="Q138" s="37" t="s">
        <v>12</v>
      </c>
      <c r="R138" s="37">
        <f>+R137*0.75</f>
        <v>8250.6564794431833</v>
      </c>
      <c r="S138" s="37" t="s">
        <v>8</v>
      </c>
      <c r="T138" s="37"/>
      <c r="U138" s="34"/>
      <c r="V138" s="37"/>
      <c r="W138" s="37"/>
      <c r="X138" s="37"/>
    </row>
    <row r="139" spans="1:24" ht="18" x14ac:dyDescent="0.35">
      <c r="A139" s="59" t="s">
        <v>12</v>
      </c>
      <c r="B139" s="68">
        <f>+B138*0.75</f>
        <v>-8250.6564794431833</v>
      </c>
      <c r="C139" s="39" t="s">
        <v>18</v>
      </c>
      <c r="D139" s="37"/>
      <c r="E139" s="37"/>
      <c r="F139" s="37"/>
      <c r="G139" s="37"/>
      <c r="H139" s="37"/>
      <c r="I139" s="38"/>
      <c r="K139" s="16" t="e">
        <f>+R131/K138</f>
        <v>#DIV/0!</v>
      </c>
      <c r="Q139" s="37" t="s">
        <v>14</v>
      </c>
      <c r="R139" s="37">
        <f>+R131/R138</f>
        <v>6.2579377930281401</v>
      </c>
      <c r="S139" s="37"/>
      <c r="T139" s="37"/>
      <c r="U139" s="34"/>
      <c r="V139" s="37"/>
      <c r="W139" s="37"/>
      <c r="X139" s="37"/>
    </row>
    <row r="140" spans="1:24" ht="18" x14ac:dyDescent="0.35">
      <c r="A140" s="59" t="s">
        <v>14</v>
      </c>
      <c r="B140" s="63">
        <f>+B132/B139</f>
        <v>-6.2579377930281401</v>
      </c>
      <c r="C140" s="37"/>
      <c r="D140" s="130" t="s">
        <v>233</v>
      </c>
      <c r="F140" s="16" t="s">
        <v>14</v>
      </c>
      <c r="G140" s="80">
        <f>+(M130+M131)/2</f>
        <v>3.1289688965140701</v>
      </c>
      <c r="H140" s="37"/>
      <c r="I140" s="38"/>
    </row>
    <row r="141" spans="1:24" x14ac:dyDescent="0.25">
      <c r="A141" s="34"/>
      <c r="B141" s="37"/>
      <c r="C141" s="37"/>
      <c r="D141" s="37"/>
      <c r="E141" s="37"/>
      <c r="F141" s="37"/>
      <c r="G141" s="37"/>
      <c r="H141" s="37"/>
      <c r="I141" s="38"/>
      <c r="V141" s="16">
        <f>+(V139+X139)/2</f>
        <v>0</v>
      </c>
    </row>
    <row r="142" spans="1:24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4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  <c r="L143" s="16" t="s">
        <v>83</v>
      </c>
      <c r="O143" s="16" t="e">
        <f>+B151/2*B101</f>
        <v>#DIV/0!</v>
      </c>
      <c r="P143" s="16" t="s">
        <v>5</v>
      </c>
    </row>
    <row r="144" spans="1:24" x14ac:dyDescent="0.25">
      <c r="A144" s="59" t="s">
        <v>1</v>
      </c>
      <c r="B144" s="40">
        <f>+C21-C15-C16-P21/2</f>
        <v>49.295000000000002</v>
      </c>
      <c r="C144" s="39" t="s">
        <v>0</v>
      </c>
      <c r="D144" s="37"/>
      <c r="E144" s="37"/>
      <c r="F144" s="37"/>
      <c r="G144" s="37"/>
      <c r="H144" s="37"/>
      <c r="I144" s="38"/>
      <c r="L144" s="34" t="s">
        <v>63</v>
      </c>
      <c r="M144" s="70">
        <f>+C18*12/2-C43/2+C12+C18*12</f>
        <v>54</v>
      </c>
      <c r="N144" s="37" t="s">
        <v>0</v>
      </c>
    </row>
    <row r="145" spans="1:16" x14ac:dyDescent="0.25">
      <c r="A145" s="59" t="s">
        <v>63</v>
      </c>
      <c r="B145" s="61">
        <f>+C18*12/2-C43/2+C12</f>
        <v>-18</v>
      </c>
      <c r="C145" s="39" t="s">
        <v>0</v>
      </c>
      <c r="D145" s="70"/>
      <c r="E145" s="37"/>
      <c r="F145" s="37"/>
      <c r="G145" s="37"/>
      <c r="H145" s="37"/>
      <c r="I145" s="38"/>
      <c r="L145" s="34" t="s">
        <v>64</v>
      </c>
      <c r="M145" s="70">
        <f>MAX(M144/B144,0)</f>
        <v>1.0954457855766304</v>
      </c>
      <c r="N145" s="37"/>
    </row>
    <row r="146" spans="1:16" ht="18" x14ac:dyDescent="0.35">
      <c r="A146" s="59" t="s">
        <v>64</v>
      </c>
      <c r="B146" s="61">
        <f>MAX(B145/B144,0)</f>
        <v>0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  <c r="L146" s="34" t="s">
        <v>57</v>
      </c>
      <c r="M146" s="37">
        <f>10*C7*C14-C7*0.15*C22*C23*C21/12*((C22/2-C43/2/12)/C22)</f>
        <v>17130.95</v>
      </c>
      <c r="N146" s="37" t="s">
        <v>8</v>
      </c>
    </row>
    <row r="147" spans="1:16" ht="18" x14ac:dyDescent="0.35">
      <c r="A147" s="59" t="s">
        <v>57</v>
      </c>
      <c r="B147" s="68">
        <f>15*C7*C14-C7*0.15*C22*C23*C21/12*((C22/2-C43/2/12)/C22)</f>
        <v>25930.95</v>
      </c>
      <c r="C147" s="39" t="s">
        <v>18</v>
      </c>
      <c r="D147" s="70"/>
      <c r="E147" s="37"/>
      <c r="F147" s="70"/>
      <c r="G147" s="37"/>
      <c r="H147" s="37"/>
      <c r="I147" s="38"/>
      <c r="L147" s="34" t="s">
        <v>25</v>
      </c>
      <c r="M147" s="37">
        <f>C7*C14*(5*(M144))+C7*C14*(5*(M144+C18*12))-C7*0.15*C22*C23*C21/12*((C22/2-C43/2/12)/C22)*(C22/2-C43/2/12)*12/2</f>
        <v>1546710.5249999999</v>
      </c>
      <c r="N147" s="37" t="s">
        <v>26</v>
      </c>
    </row>
    <row r="148" spans="1:16" ht="18" x14ac:dyDescent="0.35">
      <c r="A148" s="59" t="s">
        <v>25</v>
      </c>
      <c r="B148" s="68">
        <f>C7*C14*(5*B145)+C7*C14*(5*(B145+C18*12))+C7*C14*(5*(B145+2*C18*12))-C7*0.15*C22*C23*C21/12*((C22/2-C43/2/12)/C22)*(C22/2-C43/2/12)*12/2</f>
        <v>1388310.5249999999</v>
      </c>
      <c r="C148" s="39" t="s">
        <v>26</v>
      </c>
      <c r="D148" s="70"/>
      <c r="E148" s="37"/>
      <c r="F148" s="70"/>
      <c r="G148" s="37"/>
      <c r="H148" s="37"/>
      <c r="I148" s="38"/>
      <c r="L148" s="34" t="s">
        <v>65</v>
      </c>
      <c r="M148" s="70">
        <f>+M146*B144/M147</f>
        <v>0.54597816889491979</v>
      </c>
      <c r="N148" s="70"/>
    </row>
    <row r="149" spans="1:16" ht="18" x14ac:dyDescent="0.35">
      <c r="A149" s="59" t="s">
        <v>65</v>
      </c>
      <c r="B149" s="61">
        <f>+B147*B144/B148</f>
        <v>0.92073506411686967</v>
      </c>
      <c r="C149" s="39"/>
      <c r="D149" s="70"/>
      <c r="E149" s="70"/>
      <c r="F149" s="70"/>
      <c r="G149" s="37"/>
      <c r="H149" s="37"/>
      <c r="I149" s="38"/>
      <c r="L149" s="34" t="s">
        <v>66</v>
      </c>
      <c r="M149" s="70">
        <f>1/M148</f>
        <v>1.8315750646661153</v>
      </c>
      <c r="N149" s="70"/>
    </row>
    <row r="150" spans="1:16" ht="18" x14ac:dyDescent="0.35">
      <c r="A150" s="59" t="s">
        <v>415</v>
      </c>
      <c r="B150" s="61">
        <f>1/B149</f>
        <v>1.0860887555739587</v>
      </c>
      <c r="C150" s="39"/>
      <c r="D150" s="70"/>
      <c r="E150" s="70"/>
      <c r="F150" s="70"/>
      <c r="G150" s="37"/>
      <c r="H150" s="37"/>
      <c r="I150" s="38"/>
      <c r="L150" s="34" t="s">
        <v>6</v>
      </c>
      <c r="M150" s="70">
        <f>+MIN(1/M145*(3.5-2.5*M149)*(1.9+0.1*M148),10)</f>
        <v>-1.9251424632947314</v>
      </c>
      <c r="N150" s="70"/>
    </row>
    <row r="151" spans="1:16" ht="18" x14ac:dyDescent="0.35">
      <c r="A151" s="59" t="s">
        <v>6</v>
      </c>
      <c r="B151" s="61" t="e">
        <f>+MIN(1/B146*(3.5-2.5*B150)*(1.9+0.1*B149),10)</f>
        <v>#DIV/0!</v>
      </c>
      <c r="C151" s="39"/>
      <c r="D151" s="70"/>
      <c r="E151" s="70"/>
      <c r="F151" s="37"/>
      <c r="G151" s="37"/>
      <c r="H151" s="37"/>
      <c r="I151" s="38"/>
      <c r="L151" s="34" t="s">
        <v>12</v>
      </c>
      <c r="M151" s="37">
        <f>0.75*M150*(C10*1000)^0.5/1000*C23*12*B144</f>
        <v>-1620.5390633045417</v>
      </c>
      <c r="N151" s="37" t="s">
        <v>8</v>
      </c>
    </row>
    <row r="152" spans="1:16" ht="18" x14ac:dyDescent="0.35">
      <c r="A152" s="59" t="s">
        <v>12</v>
      </c>
      <c r="B152" s="68" t="e">
        <f>0.75*B151*(C10*1000)^0.5/1000*C23*12*B144</f>
        <v>#DIV/0!</v>
      </c>
      <c r="C152" s="39" t="s">
        <v>18</v>
      </c>
      <c r="D152" s="37"/>
      <c r="E152" s="37"/>
      <c r="F152" s="37"/>
      <c r="G152" s="37"/>
      <c r="H152" s="37"/>
      <c r="I152" s="38"/>
      <c r="L152" s="34" t="s">
        <v>14</v>
      </c>
      <c r="M152" s="37">
        <f>+M146/M151</f>
        <v>-10.571142891839472</v>
      </c>
      <c r="N152" s="37"/>
    </row>
    <row r="153" spans="1:16" ht="18" x14ac:dyDescent="0.35">
      <c r="A153" s="59" t="s">
        <v>14</v>
      </c>
      <c r="B153" s="63" t="e">
        <f>+B147/B152</f>
        <v>#DIV/0!</v>
      </c>
      <c r="C153" s="37"/>
      <c r="D153" s="130" t="s">
        <v>280</v>
      </c>
      <c r="F153" s="16" t="s">
        <v>14</v>
      </c>
      <c r="G153" s="169">
        <f>+IF(B145&gt;0,B153,M152)</f>
        <v>-10.571142891839472</v>
      </c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  <c r="L156" s="16" t="s">
        <v>83</v>
      </c>
      <c r="O156" s="16">
        <f>+B164/2*B112</f>
        <v>230.56294647197242</v>
      </c>
      <c r="P156" s="16" t="s">
        <v>5</v>
      </c>
    </row>
    <row r="157" spans="1:16" x14ac:dyDescent="0.25">
      <c r="A157" s="59" t="s">
        <v>1</v>
      </c>
      <c r="B157" s="40">
        <f>+C21-C15-C16-P21-L21/2</f>
        <v>47.885000000000005</v>
      </c>
      <c r="C157" s="39" t="s">
        <v>0</v>
      </c>
      <c r="D157" s="37"/>
      <c r="E157" s="37"/>
      <c r="F157" s="37"/>
      <c r="G157" s="37"/>
      <c r="H157" s="37"/>
      <c r="I157" s="38"/>
      <c r="L157" s="34" t="s">
        <v>63</v>
      </c>
      <c r="M157" s="70">
        <f>+C18*12-C43/2+C12+C18*12</f>
        <v>90</v>
      </c>
      <c r="N157" s="37" t="s">
        <v>0</v>
      </c>
    </row>
    <row r="158" spans="1:16" x14ac:dyDescent="0.25">
      <c r="A158" s="59" t="s">
        <v>63</v>
      </c>
      <c r="B158" s="61">
        <f>+C18*12-C43/2+C12</f>
        <v>18</v>
      </c>
      <c r="C158" s="39" t="s">
        <v>0</v>
      </c>
      <c r="D158" s="70"/>
      <c r="E158" s="37"/>
      <c r="F158" s="37"/>
      <c r="G158" s="37"/>
      <c r="H158" s="37"/>
      <c r="I158" s="38"/>
      <c r="L158" s="34" t="s">
        <v>64</v>
      </c>
      <c r="M158" s="70">
        <f>MAX(M157/B157,0)</f>
        <v>1.8795029758797117</v>
      </c>
      <c r="N158" s="37"/>
    </row>
    <row r="159" spans="1:16" ht="18" x14ac:dyDescent="0.35">
      <c r="A159" s="59" t="s">
        <v>64</v>
      </c>
      <c r="B159" s="61">
        <f>MAX(B158/B157,0)</f>
        <v>0.37590059517594232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  <c r="L159" s="34" t="s">
        <v>57</v>
      </c>
      <c r="M159" s="37">
        <f>6*C7*C14-C7*0.15*C22*C23*C21/12*((C23/2-C43/2/12)/C23)</f>
        <v>10124.580000000002</v>
      </c>
      <c r="N159" s="37" t="s">
        <v>8</v>
      </c>
    </row>
    <row r="160" spans="1:16" ht="18" x14ac:dyDescent="0.35">
      <c r="A160" s="59" t="s">
        <v>57</v>
      </c>
      <c r="B160" s="68">
        <f>12*C7*C14-C7*0.15*C22*C23*C21/12*((C23/2-C43/2/12)/C23)</f>
        <v>20684.580000000002</v>
      </c>
      <c r="C160" s="39" t="s">
        <v>18</v>
      </c>
      <c r="D160" s="70"/>
      <c r="E160" s="37"/>
      <c r="F160" s="70"/>
      <c r="G160" s="37"/>
      <c r="H160" s="37"/>
      <c r="I160" s="38"/>
      <c r="L160" s="34" t="s">
        <v>25</v>
      </c>
      <c r="M160" s="37">
        <f>C7*C14*(6*(M157))-C7*0.15*C22*C23*C21/12*((C23/2-C43/2/12)/C23)*(C23/2-C43/2/12)*12/2</f>
        <v>923621.67</v>
      </c>
      <c r="N160" s="37" t="s">
        <v>26</v>
      </c>
    </row>
    <row r="161" spans="1:32" ht="18" x14ac:dyDescent="0.35">
      <c r="A161" s="59" t="s">
        <v>25</v>
      </c>
      <c r="B161" s="68">
        <f>C7*C14*(6*B158)+C7*C14*(6*(B158+C18*12))-C7*0.15*C22*C23*C21/12*((C23/2-C43/2/12)/C23)*(C23/2-C43/2/12)*12/2</f>
        <v>1113701.67</v>
      </c>
      <c r="C161" s="39" t="s">
        <v>26</v>
      </c>
      <c r="D161" s="70"/>
      <c r="E161" s="37"/>
      <c r="F161" s="70"/>
      <c r="G161" s="37"/>
      <c r="H161" s="37"/>
      <c r="I161" s="38"/>
      <c r="L161" s="34" t="s">
        <v>65</v>
      </c>
      <c r="M161" s="70">
        <f>+M159*B157/M160</f>
        <v>0.52490703612443401</v>
      </c>
      <c r="N161" s="70"/>
    </row>
    <row r="162" spans="1:32" ht="18" x14ac:dyDescent="0.35">
      <c r="A162" s="59" t="s">
        <v>65</v>
      </c>
      <c r="B162" s="61">
        <f>+B160*B157/B161</f>
        <v>0.88935945772623315</v>
      </c>
      <c r="C162" s="39"/>
      <c r="D162" s="70"/>
      <c r="E162" s="70"/>
      <c r="F162" s="70"/>
      <c r="G162" s="37"/>
      <c r="H162" s="37"/>
      <c r="I162" s="38"/>
      <c r="L162" s="34" t="s">
        <v>66</v>
      </c>
      <c r="M162" s="70">
        <f>1/M161</f>
        <v>1.9050992483989886</v>
      </c>
      <c r="N162" s="70"/>
    </row>
    <row r="163" spans="1:32" ht="18" x14ac:dyDescent="0.35">
      <c r="A163" s="59" t="s">
        <v>415</v>
      </c>
      <c r="B163" s="61">
        <f>1/B162</f>
        <v>1.12440475143384</v>
      </c>
      <c r="C163" s="39"/>
      <c r="D163" s="70"/>
      <c r="E163" s="70"/>
      <c r="F163" s="70"/>
      <c r="G163" s="37"/>
      <c r="H163" s="37"/>
      <c r="I163" s="38"/>
      <c r="L163" s="34" t="s">
        <v>6</v>
      </c>
      <c r="M163" s="70">
        <f>+MIN(1/M158*(3.5-2.5*M162)*(1.9+0.1*M161),10)</f>
        <v>-1.3117850830205</v>
      </c>
      <c r="N163" s="70"/>
    </row>
    <row r="164" spans="1:32" ht="18" x14ac:dyDescent="0.35">
      <c r="A164" s="59" t="s">
        <v>6</v>
      </c>
      <c r="B164" s="61">
        <f>+MIN(1/B159*(3.5-2.5*B163)*(1.9+0.1*B162),10)</f>
        <v>3.6455202744545812</v>
      </c>
      <c r="C164" s="39"/>
      <c r="D164" s="70"/>
      <c r="E164" s="70"/>
      <c r="F164" s="37"/>
      <c r="G164" s="37"/>
      <c r="H164" s="37"/>
      <c r="I164" s="38"/>
      <c r="L164" s="34" t="s">
        <v>12</v>
      </c>
      <c r="M164" s="37">
        <f>0.75*M163*(C10*1000)^0.5/1000*C22*12*B157</f>
        <v>-1287.1737833329796</v>
      </c>
      <c r="N164" s="37" t="s">
        <v>8</v>
      </c>
    </row>
    <row r="165" spans="1:32" ht="18" x14ac:dyDescent="0.35">
      <c r="A165" s="59" t="s">
        <v>12</v>
      </c>
      <c r="B165" s="68">
        <f>0.75*B164*(C10*1000)^0.5/1000*C22*12*B157</f>
        <v>3577.1241681465694</v>
      </c>
      <c r="C165" s="39" t="s">
        <v>18</v>
      </c>
      <c r="D165" s="37"/>
      <c r="E165" s="37"/>
      <c r="F165" s="37"/>
      <c r="G165" s="37"/>
      <c r="H165" s="37"/>
      <c r="I165" s="38"/>
      <c r="L165" s="34" t="s">
        <v>14</v>
      </c>
      <c r="M165" s="37">
        <f>+M159/M164</f>
        <v>-7.8657444170309594</v>
      </c>
      <c r="N165" s="37"/>
    </row>
    <row r="166" spans="1:32" ht="18" x14ac:dyDescent="0.35">
      <c r="A166" s="59" t="s">
        <v>14</v>
      </c>
      <c r="B166" s="63">
        <f>+B160/B165</f>
        <v>5.7824607219931625</v>
      </c>
      <c r="C166" s="37"/>
      <c r="D166" s="130" t="s">
        <v>280</v>
      </c>
      <c r="F166" s="16" t="s">
        <v>14</v>
      </c>
      <c r="G166" s="80">
        <f>+IF(B158&gt;0,B166,M165)</f>
        <v>5.7824607219931625</v>
      </c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49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24.5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196.66666666666666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69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10621.411500000002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162.81824464608584</v>
      </c>
      <c r="AF172" s="16" t="s">
        <v>5</v>
      </c>
    </row>
    <row r="173" spans="1:32" ht="18.75" x14ac:dyDescent="0.35">
      <c r="A173" s="34"/>
      <c r="B173" s="40">
        <f>+C66</f>
        <v>33</v>
      </c>
      <c r="C173" s="39" t="s">
        <v>70</v>
      </c>
      <c r="D173" s="72" t="str">
        <f>"#"&amp;+C24</f>
        <v>#11</v>
      </c>
      <c r="E173" s="37" t="s">
        <v>71</v>
      </c>
      <c r="F173" s="37" t="s">
        <v>72</v>
      </c>
      <c r="G173" s="43">
        <f>+C23-0.5</f>
        <v>29.5</v>
      </c>
      <c r="H173" s="39" t="s">
        <v>73</v>
      </c>
      <c r="I173" s="38"/>
      <c r="Q173" s="16" t="s">
        <v>7</v>
      </c>
      <c r="R173" s="16">
        <f>+R172*T171/1000</f>
        <v>2687.0281844724418</v>
      </c>
      <c r="S173" s="16" t="s">
        <v>8</v>
      </c>
      <c r="T173" s="16" t="s">
        <v>87</v>
      </c>
    </row>
    <row r="174" spans="1:32" ht="18" x14ac:dyDescent="0.35">
      <c r="A174" s="34"/>
      <c r="B174" s="44">
        <v>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1.7281312499999999</v>
      </c>
      <c r="H174" s="39" t="s">
        <v>73</v>
      </c>
      <c r="I174" s="38"/>
      <c r="Q174" s="16" t="s">
        <v>12</v>
      </c>
      <c r="R174" s="16">
        <f>+R173*0.75</f>
        <v>2015.2711383543315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5172.3135204726568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1729.3595760937501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0.85812749618691186</v>
      </c>
    </row>
    <row r="177" spans="1:32" x14ac:dyDescent="0.25">
      <c r="A177" s="34"/>
      <c r="B177" s="40">
        <f>+C84</f>
        <v>26</v>
      </c>
      <c r="C177" s="39" t="s">
        <v>70</v>
      </c>
      <c r="D177" s="72" t="str">
        <f>"#"&amp;+C25</f>
        <v>#11</v>
      </c>
      <c r="E177" s="37" t="s">
        <v>71</v>
      </c>
      <c r="F177" s="37" t="s">
        <v>72</v>
      </c>
      <c r="G177" s="43">
        <f>+C22-0.5</f>
        <v>35.5</v>
      </c>
      <c r="H177" s="39" t="s">
        <v>73</v>
      </c>
      <c r="I177" s="38"/>
    </row>
    <row r="178" spans="1:32" ht="18.75" x14ac:dyDescent="0.3">
      <c r="A178" s="34"/>
      <c r="B178" s="44">
        <v>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1.7281312499999999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4904.0014169453125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49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24.5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10076.31493741797</v>
      </c>
      <c r="D181" s="39" t="s">
        <v>78</v>
      </c>
      <c r="E181" s="37" t="s">
        <v>79</v>
      </c>
      <c r="F181" s="80">
        <f>+C181/2000</f>
        <v>5.0381574687089854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216.76350000000002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17677.411500000002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195.08792766937341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4472.0706780842884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3354.0530085632163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3448.6495760937501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1.0282036590623402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49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24.5</v>
      </c>
      <c r="U192" s="16" t="s">
        <v>0</v>
      </c>
      <c r="W192" s="51"/>
    </row>
    <row r="193" spans="1:54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126.19087500000001</v>
      </c>
      <c r="U193" s="16" t="s">
        <v>0</v>
      </c>
      <c r="V193" s="51"/>
      <c r="W193" s="51"/>
    </row>
    <row r="194" spans="1:54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6183.3528750000005</v>
      </c>
      <c r="U194" s="16" t="s">
        <v>34</v>
      </c>
    </row>
    <row r="195" spans="1:54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278.38697367299085</v>
      </c>
      <c r="AF195" s="16" t="s">
        <v>5</v>
      </c>
    </row>
    <row r="196" spans="1:54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1564.2782929240336</v>
      </c>
      <c r="S196" s="16" t="s">
        <v>8</v>
      </c>
      <c r="T196" s="16" t="s">
        <v>87</v>
      </c>
    </row>
    <row r="197" spans="1:54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1173.2087196930252</v>
      </c>
      <c r="S197" s="16" t="s">
        <v>8</v>
      </c>
    </row>
    <row r="198" spans="1:54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1721.3648940234375</v>
      </c>
      <c r="S198" s="16" t="s">
        <v>8</v>
      </c>
      <c r="T198" s="16" t="s">
        <v>344</v>
      </c>
    </row>
    <row r="199" spans="1:54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1.4672281795466366</v>
      </c>
      <c r="T199" s="16" t="s">
        <v>145</v>
      </c>
      <c r="V199" s="16">
        <f>+(C19*C19+C19*T170+3.1415*T170^2/4/4)/144</f>
        <v>32.741615234375004</v>
      </c>
      <c r="W199" s="16" t="s">
        <v>146</v>
      </c>
    </row>
    <row r="200" spans="1:54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4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4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49</v>
      </c>
      <c r="U202" s="16" t="s">
        <v>0</v>
      </c>
      <c r="V202" s="16" t="s">
        <v>52</v>
      </c>
      <c r="W202" s="51"/>
    </row>
    <row r="203" spans="1:54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4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147.82239999999999</v>
      </c>
      <c r="U204" s="16" t="s">
        <v>0</v>
      </c>
      <c r="V204" s="51"/>
      <c r="W204" s="51"/>
    </row>
    <row r="205" spans="1:54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7243.297599999999</v>
      </c>
      <c r="U205" s="16" t="s">
        <v>34</v>
      </c>
    </row>
    <row r="206" spans="1:54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236.8031531477628</v>
      </c>
      <c r="AF206" s="16" t="s">
        <v>5</v>
      </c>
    </row>
    <row r="207" spans="1:54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916.21272745724934</v>
      </c>
      <c r="S207" s="16" t="s">
        <v>8</v>
      </c>
      <c r="T207" s="16" t="s">
        <v>93</v>
      </c>
    </row>
    <row r="208" spans="1:54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687.15954559293698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</row>
    <row r="209" spans="1:54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1715.2357108676224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</row>
    <row r="210" spans="1:54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2.496124403522006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</row>
    <row r="211" spans="1:54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</row>
    <row r="212" spans="1:54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</row>
    <row r="213" spans="1:54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</row>
    <row r="214" spans="1:54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54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54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54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54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6" orientation="portrait" r:id="rId1"/>
  <headerFooter>
    <oddHeader>&amp;R"CRSI-PILECAP" Program
Version 1.0</oddHeader>
    <oddFooter>&amp;C&amp;P of &amp;N&amp;R&amp;D  &amp;T</oddFooter>
  </headerFooter>
  <rowBreaks count="5" manualBreakCount="5">
    <brk id="44" max="8" man="1"/>
    <brk id="85" max="8" man="1"/>
    <brk id="126" max="8" man="1"/>
    <brk id="167" max="8" man="1"/>
    <brk id="208" max="36" man="1"/>
  </rowBreaks>
  <colBreaks count="1" manualBreakCount="1">
    <brk id="9" max="207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" customHeight="1" x14ac:dyDescent="0.35">
      <c r="A1" s="99" t="s">
        <v>285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9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116"/>
      <c r="C6" s="116"/>
      <c r="D6" s="116"/>
      <c r="E6" s="116"/>
      <c r="F6" s="116"/>
      <c r="G6" s="116"/>
      <c r="H6" s="116"/>
      <c r="I6" s="117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34"/>
      <c r="B7" s="35" t="s">
        <v>384</v>
      </c>
      <c r="C7" s="81">
        <v>1.6</v>
      </c>
      <c r="D7" s="39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39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9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3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550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40">
        <f>+C13*2</f>
        <v>1100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41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7" si="2">-5*L16+3.1415*5*L16+MAX(4*L16,2.5)</f>
        <v>18.678525000000004</v>
      </c>
    </row>
    <row r="17" spans="1:22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22" x14ac:dyDescent="0.25">
      <c r="A18" s="34"/>
      <c r="B18" s="36" t="s">
        <v>393</v>
      </c>
      <c r="C18" s="83">
        <v>5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ref="N18" si="3">-5*L18+3.1415*5*L18+MAX(4*L18,2.5)</f>
        <v>24.899797500000005</v>
      </c>
    </row>
    <row r="19" spans="1:22" x14ac:dyDescent="0.25">
      <c r="A19" s="34"/>
      <c r="B19" s="36" t="s">
        <v>395</v>
      </c>
      <c r="C19" s="40">
        <f>+IF(C13&lt;61,15,IF(C13&lt;121,21,IF(C13&lt;201,27,IF(C13&lt;281,30,36))))</f>
        <v>36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20.737575</v>
      </c>
    </row>
    <row r="20" spans="1:22" ht="18" x14ac:dyDescent="0.35">
      <c r="A20" s="34"/>
      <c r="B20" s="36" t="s">
        <v>396</v>
      </c>
      <c r="C20" s="41">
        <f>17+30/200*C13</f>
        <v>99.5</v>
      </c>
      <c r="D20" s="39" t="s">
        <v>0</v>
      </c>
      <c r="E20" s="36" t="s">
        <v>258</v>
      </c>
      <c r="F20" s="43">
        <f>+C19/12/0.866</f>
        <v>3.464203233256351</v>
      </c>
      <c r="G20" s="39" t="s">
        <v>394</v>
      </c>
      <c r="H20" s="37"/>
      <c r="I20" s="38"/>
      <c r="L20" s="16" t="s">
        <v>136</v>
      </c>
      <c r="M20" s="16" t="str">
        <f>+IF(C25=K9,N9,IF(C25=K10,N10,IF(C25=K11,N11,IF(C25=K12,N12,IF(C25=K13,N13,IF(C25=K14,N14,IF(C25=K15,N15,IF(C25=K16,N16,IF(C25=K17,N17,IF(C25=K18,N18,"NG"))))))))))</f>
        <v>NG</v>
      </c>
      <c r="R20" s="16" t="s">
        <v>287</v>
      </c>
      <c r="U20" s="16">
        <f>+(C22-F20)/2</f>
        <v>3.7678983833718247</v>
      </c>
      <c r="V20" s="16" t="s">
        <v>289</v>
      </c>
    </row>
    <row r="21" spans="1:22" ht="18" x14ac:dyDescent="0.35">
      <c r="A21" s="34"/>
      <c r="B21" s="36" t="s">
        <v>397</v>
      </c>
      <c r="C21" s="84">
        <v>66</v>
      </c>
      <c r="D21" s="39" t="s">
        <v>0</v>
      </c>
      <c r="E21" s="36" t="s">
        <v>259</v>
      </c>
      <c r="F21" s="63">
        <f>1.2679*C19/12</f>
        <v>3.8037000000000005</v>
      </c>
      <c r="G21" s="39" t="s">
        <v>394</v>
      </c>
      <c r="H21" s="37"/>
      <c r="I21" s="38"/>
      <c r="J21" s="16" t="s">
        <v>33</v>
      </c>
      <c r="L21" s="16">
        <f>+IF(C24&lt;9,(C24/8),IF(C24=9,1.128,IF(C24=10,1.27,IF(C24=11,1.41,IF(C24=14,1.693,0)))))</f>
        <v>1.41</v>
      </c>
      <c r="M21" s="16" t="s">
        <v>20</v>
      </c>
      <c r="N21" s="16" t="s">
        <v>36</v>
      </c>
      <c r="P21" s="16">
        <f>+IF(C25&lt;9,(C25/8),IF(C25=9,1.128,IF(C25=10,1.27,IF(C25=11,1.41,IF(C25=14,1.693,0)))))</f>
        <v>0</v>
      </c>
      <c r="Q21" s="16" t="s">
        <v>20</v>
      </c>
      <c r="R21" s="16" t="s">
        <v>288</v>
      </c>
      <c r="U21" s="16">
        <f>+(C23-F21)</f>
        <v>6.5262999999999991</v>
      </c>
      <c r="V21" s="16" t="s">
        <v>289</v>
      </c>
    </row>
    <row r="22" spans="1:22" ht="17.25" x14ac:dyDescent="0.25">
      <c r="A22" s="34"/>
      <c r="B22" s="36" t="s">
        <v>398</v>
      </c>
      <c r="C22" s="40">
        <f>2*C19/12+C18</f>
        <v>11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1.5614040375</v>
      </c>
      <c r="M22" s="16" t="s">
        <v>34</v>
      </c>
      <c r="N22" s="16" t="s">
        <v>37</v>
      </c>
      <c r="P22" s="16">
        <f>3.1415*P21^2/4</f>
        <v>0</v>
      </c>
      <c r="Q22" s="16" t="s">
        <v>34</v>
      </c>
      <c r="R22" s="16" t="s">
        <v>286</v>
      </c>
      <c r="U22" s="16">
        <f>+U21*U20*0.5</f>
        <v>12.295217609699769</v>
      </c>
      <c r="V22" s="16" t="s">
        <v>289</v>
      </c>
    </row>
    <row r="23" spans="1:22" x14ac:dyDescent="0.25">
      <c r="A23" s="34"/>
      <c r="B23" s="36" t="s">
        <v>399</v>
      </c>
      <c r="C23" s="41">
        <f>2*C19/12+C18*0.866</f>
        <v>10.33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22" x14ac:dyDescent="0.25">
      <c r="A24" s="34"/>
      <c r="B24" s="36" t="s">
        <v>454</v>
      </c>
      <c r="C24" s="84">
        <v>11</v>
      </c>
      <c r="D24" s="39"/>
      <c r="E24" s="37"/>
      <c r="F24" s="37"/>
      <c r="G24" s="37"/>
      <c r="H24" s="37"/>
      <c r="I24" s="38"/>
    </row>
    <row r="25" spans="1:22" x14ac:dyDescent="0.25">
      <c r="A25" s="34"/>
      <c r="B25" s="59" t="s">
        <v>450</v>
      </c>
      <c r="C25" s="112"/>
      <c r="D25" s="39"/>
      <c r="E25" s="37"/>
      <c r="F25" s="37"/>
      <c r="G25" s="37"/>
      <c r="H25" s="37"/>
      <c r="I25" s="38"/>
      <c r="J25" s="16" t="s">
        <v>112</v>
      </c>
      <c r="O25" s="16" t="s">
        <v>290</v>
      </c>
      <c r="R25" s="16">
        <f>+F21</f>
        <v>3.8037000000000005</v>
      </c>
      <c r="S25" s="16" t="s">
        <v>0</v>
      </c>
    </row>
    <row r="26" spans="1:22" ht="18" x14ac:dyDescent="0.35">
      <c r="A26" s="34"/>
      <c r="B26" s="36" t="s">
        <v>402</v>
      </c>
      <c r="C26" s="40">
        <f>+C21-C15-C16-P21-0.5*L21</f>
        <v>56.295000000000002</v>
      </c>
      <c r="D26" s="39" t="s">
        <v>0</v>
      </c>
      <c r="E26" s="37"/>
      <c r="F26" s="37"/>
      <c r="G26" s="37"/>
      <c r="H26" s="37"/>
      <c r="I26" s="38"/>
      <c r="P26" s="113"/>
      <c r="Q26" s="113"/>
      <c r="R26" s="113"/>
      <c r="S26" s="113"/>
      <c r="T26" s="113"/>
      <c r="U26" s="113"/>
    </row>
    <row r="27" spans="1:22" ht="18" x14ac:dyDescent="0.35">
      <c r="A27" s="34"/>
      <c r="B27" s="36" t="s">
        <v>403</v>
      </c>
      <c r="C27" s="120">
        <f>+C21-C15-C16-P21/2</f>
        <v>57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  <c r="P27" s="113"/>
      <c r="Q27" s="113"/>
      <c r="R27" s="113"/>
      <c r="S27" s="113"/>
      <c r="T27" s="113"/>
      <c r="U27" s="113"/>
    </row>
    <row r="28" spans="1:22" ht="18" x14ac:dyDescent="0.35">
      <c r="A28" s="34"/>
      <c r="B28" s="36" t="s">
        <v>404</v>
      </c>
      <c r="C28" s="41">
        <f>+C21-C15-C16-1</f>
        <v>56</v>
      </c>
      <c r="D28" s="39" t="s">
        <v>0</v>
      </c>
      <c r="E28" s="37"/>
      <c r="F28" s="37"/>
      <c r="G28" s="37"/>
      <c r="H28" s="37"/>
      <c r="I28" s="38"/>
    </row>
    <row r="29" spans="1:22" x14ac:dyDescent="0.25">
      <c r="A29" s="46" t="str">
        <f>+IF(C13&gt;200,"High capacity pile selected - special details required - see CRSI Pile Cap Design Guide", "")</f>
        <v>High capacity pile selected - special details required - see CRSI Pile Cap Design Guide</v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22" x14ac:dyDescent="0.25">
      <c r="A30" s="55" t="s">
        <v>113</v>
      </c>
      <c r="B30" s="56"/>
      <c r="C30" s="56"/>
      <c r="D30" s="56"/>
      <c r="E30" s="56"/>
      <c r="F30" s="56"/>
      <c r="G30" s="56"/>
      <c r="H30" s="56"/>
      <c r="I30" s="57"/>
    </row>
    <row r="31" spans="1:22" ht="18.75" x14ac:dyDescent="0.3">
      <c r="A31" s="34" t="s">
        <v>122</v>
      </c>
      <c r="B31" s="37"/>
      <c r="C31" s="37"/>
      <c r="D31" s="37"/>
      <c r="E31" s="49" t="str">
        <f>+IF(C59&gt;C57,"NG; select smaller bar size","OK")</f>
        <v>OK</v>
      </c>
      <c r="F31" s="37"/>
      <c r="G31" s="37"/>
      <c r="H31" s="37"/>
      <c r="I31" s="38"/>
      <c r="J31" s="50" t="s">
        <v>84</v>
      </c>
    </row>
    <row r="32" spans="1:22" x14ac:dyDescent="0.25">
      <c r="A32" s="34" t="s">
        <v>123</v>
      </c>
      <c r="B32" s="37"/>
      <c r="C32" s="37"/>
      <c r="D32" s="37"/>
      <c r="E32" s="49" t="str">
        <f>+IF(C82&gt;C80,"NG; select smaller bar size","OK")</f>
        <v>OK</v>
      </c>
      <c r="F32" s="37"/>
      <c r="G32" s="37"/>
      <c r="H32" s="37"/>
      <c r="I32" s="38"/>
      <c r="J32" s="16" t="s">
        <v>1</v>
      </c>
      <c r="M32" s="16">
        <f>+C28</f>
        <v>56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28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">
        <v>297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76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NG</v>
      </c>
      <c r="I35" s="38"/>
      <c r="J35" s="16" t="s">
        <v>85</v>
      </c>
      <c r="K35" s="51"/>
      <c r="L35" s="51"/>
      <c r="M35" s="51">
        <f>+M34*3.1415*M32</f>
        <v>13370.224000000002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applicable",IF(B140&lt;1,"OK","NG"))</f>
        <v>NG</v>
      </c>
      <c r="D36" s="37"/>
      <c r="E36" s="37"/>
      <c r="F36" s="37"/>
      <c r="G36" s="36" t="s">
        <v>339</v>
      </c>
      <c r="H36" s="49" t="str">
        <f>+IF(R199&lt;1,"OK","NG")</f>
        <v>NG</v>
      </c>
      <c r="I36" s="38"/>
      <c r="J36" s="16" t="s">
        <v>3</v>
      </c>
      <c r="K36" s="16">
        <f>4*(C10*1000)^0.5</f>
        <v>219.08902300206645</v>
      </c>
      <c r="L36" s="16" t="s">
        <v>5</v>
      </c>
      <c r="U36" s="16" t="s">
        <v>86</v>
      </c>
      <c r="X36" s="16">
        <f>+K39/M35*1000</f>
        <v>128.52567104834341</v>
      </c>
      <c r="Y36" s="16" t="s">
        <v>5</v>
      </c>
    </row>
    <row r="37" spans="1:25" ht="18.75" x14ac:dyDescent="0.35">
      <c r="A37" s="34" t="s">
        <v>128</v>
      </c>
      <c r="B37" s="37"/>
      <c r="C37" s="49" t="s">
        <v>297</v>
      </c>
      <c r="D37" s="37"/>
      <c r="E37" s="37"/>
      <c r="F37" s="37"/>
      <c r="G37" s="36" t="s">
        <v>340</v>
      </c>
      <c r="H37" s="49" t="str">
        <f>+IF(R210&lt;1,"OK","NG")</f>
        <v>NG</v>
      </c>
      <c r="I37" s="38"/>
      <c r="J37" s="16" t="s">
        <v>7</v>
      </c>
      <c r="K37" s="16">
        <f>+K36*M35/1000</f>
        <v>2929.2693134787814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e">
        <f>+IF(F166&lt;1,"OK","NG")</f>
        <v>#DIV/0!</v>
      </c>
      <c r="D38" s="47"/>
      <c r="E38" s="47"/>
      <c r="F38" s="47"/>
      <c r="G38" s="47"/>
      <c r="H38" s="47"/>
      <c r="I38" s="111"/>
      <c r="J38" s="16" t="s">
        <v>12</v>
      </c>
      <c r="K38" s="16">
        <f>+K37*0.75</f>
        <v>2196.9519851090863</v>
      </c>
      <c r="L38" s="16" t="s">
        <v>8</v>
      </c>
    </row>
    <row r="39" spans="1:25" ht="18" x14ac:dyDescent="0.35">
      <c r="A39" s="55" t="s">
        <v>106</v>
      </c>
      <c r="B39" s="56"/>
      <c r="C39" s="56"/>
      <c r="D39" s="56"/>
      <c r="E39" s="56"/>
      <c r="F39" s="56"/>
      <c r="G39" s="56"/>
      <c r="H39" s="56"/>
      <c r="I39" s="57"/>
      <c r="J39" s="16" t="s">
        <v>57</v>
      </c>
      <c r="K39" s="16">
        <f>C7*C14-C7*3.1415/4*M34/12*M34/12*C21/12*0.15</f>
        <v>1718.4170116666667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0.78218232501851481</v>
      </c>
    </row>
    <row r="41" spans="1:25" ht="18" x14ac:dyDescent="0.35">
      <c r="A41" s="34"/>
      <c r="B41" s="36" t="s">
        <v>22</v>
      </c>
      <c r="C41" s="60">
        <f>C7*3*C14-C7*C22*C23*C21/12*0.15+C7*2*U22*C21/12*0.15</f>
        <v>5162.467774489608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36" t="s">
        <v>405</v>
      </c>
      <c r="C42" s="61">
        <f>+(C41/3.1415)^0.5</f>
        <v>40.537797118515243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36" t="s">
        <v>23</v>
      </c>
      <c r="C43" s="41">
        <f>MAX(ROUNDUP(C42,0),10)</f>
        <v>41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291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C7*C14*(1*(0.5*0.866*C18*12+C12-C43/4))-C7*(R25/2-C43/12/4)*C22*C21/12*0.15*(R25/2-C43/12/4)*12/2</f>
        <v>32869.173571231804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+C46/R25</f>
        <v>8641.3685546262313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44">
        <f>+C21-C15-C16-P21-0.5*L21</f>
        <v>56.295000000000002</v>
      </c>
      <c r="D48" s="39" t="s">
        <v>0</v>
      </c>
      <c r="E48" s="37"/>
      <c r="F48" s="37"/>
      <c r="G48" s="37"/>
      <c r="H48" s="37"/>
      <c r="I48" s="38"/>
    </row>
    <row r="49" spans="1:9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3.0073147667728257</v>
      </c>
      <c r="D49" s="39" t="s">
        <v>406</v>
      </c>
      <c r="E49" s="37"/>
      <c r="F49" s="37"/>
      <c r="G49" s="37"/>
      <c r="H49" s="37"/>
      <c r="I49" s="38"/>
    </row>
    <row r="50" spans="1:9" ht="18" x14ac:dyDescent="0.35">
      <c r="A50" s="34"/>
      <c r="B50" s="36" t="s">
        <v>38</v>
      </c>
      <c r="C50" s="61">
        <f>+C49*R25</f>
        <v>11.438923178373798</v>
      </c>
      <c r="D50" s="39" t="s">
        <v>407</v>
      </c>
      <c r="E50" s="37"/>
      <c r="F50" s="37"/>
      <c r="G50" s="37"/>
      <c r="H50" s="37"/>
      <c r="I50" s="38"/>
    </row>
    <row r="51" spans="1:9" ht="18" x14ac:dyDescent="0.35">
      <c r="A51" s="34"/>
      <c r="B51" s="36" t="s">
        <v>42</v>
      </c>
      <c r="C51" s="61">
        <f>+C50*4/3</f>
        <v>15.251897571165065</v>
      </c>
      <c r="D51" s="39" t="s">
        <v>407</v>
      </c>
      <c r="E51" s="37"/>
      <c r="F51" s="37"/>
      <c r="G51" s="37"/>
      <c r="H51" s="37"/>
      <c r="I51" s="38"/>
    </row>
    <row r="52" spans="1:9" ht="18.75" x14ac:dyDescent="0.35">
      <c r="A52" s="34"/>
      <c r="B52" s="36" t="s">
        <v>420</v>
      </c>
      <c r="C52" s="61">
        <f>3*(C10*1000)^0.5*R25*12*C48/C11/1000</f>
        <v>7.0370065906289554</v>
      </c>
      <c r="D52" s="39" t="s">
        <v>407</v>
      </c>
      <c r="E52" s="37"/>
      <c r="F52" s="37"/>
      <c r="G52" s="37"/>
      <c r="H52" s="37"/>
      <c r="I52" s="38"/>
    </row>
    <row r="53" spans="1:9" ht="18" x14ac:dyDescent="0.35">
      <c r="A53" s="34"/>
      <c r="B53" s="36" t="s">
        <v>421</v>
      </c>
      <c r="C53" s="61">
        <f>200*R25*12*C48/C11/1000</f>
        <v>8.5651716600000025</v>
      </c>
      <c r="D53" s="39" t="s">
        <v>407</v>
      </c>
      <c r="E53" s="37"/>
      <c r="F53" s="37"/>
      <c r="G53" s="37"/>
      <c r="H53" s="37"/>
      <c r="I53" s="38"/>
    </row>
    <row r="54" spans="1:9" ht="18" x14ac:dyDescent="0.35">
      <c r="A54" s="34"/>
      <c r="B54" s="36" t="s">
        <v>43</v>
      </c>
      <c r="C54" s="61">
        <f>+MAX(C52:C53)</f>
        <v>8.5651716600000025</v>
      </c>
      <c r="D54" s="39" t="s">
        <v>407</v>
      </c>
      <c r="E54" s="37"/>
      <c r="F54" s="37"/>
      <c r="G54" s="37"/>
      <c r="H54" s="37"/>
      <c r="I54" s="38"/>
    </row>
    <row r="55" spans="1:9" ht="18" x14ac:dyDescent="0.35">
      <c r="A55" s="34"/>
      <c r="B55" s="36" t="s">
        <v>408</v>
      </c>
      <c r="C55" s="61">
        <f>+IF(C11=60,0.0018*R25*12*C21,0.002*R25*12*C21)</f>
        <v>5.4225547200000008</v>
      </c>
      <c r="D55" s="39" t="s">
        <v>407</v>
      </c>
      <c r="E55" s="37"/>
      <c r="F55" s="37"/>
      <c r="G55" s="37"/>
      <c r="H55" s="37"/>
      <c r="I55" s="38"/>
    </row>
    <row r="56" spans="1:9" ht="18" x14ac:dyDescent="0.35">
      <c r="A56" s="34"/>
      <c r="B56" s="36" t="s">
        <v>40</v>
      </c>
      <c r="C56" s="61">
        <f>+IF(C50&gt;C54,C50,IF(C51&gt;C54,C54,IF(C51&gt;C55,C51,C55)))</f>
        <v>11.438923178373798</v>
      </c>
      <c r="D56" s="39" t="s">
        <v>407</v>
      </c>
      <c r="E56" s="37"/>
      <c r="F56" s="37"/>
      <c r="G56" s="37"/>
      <c r="H56" s="37"/>
      <c r="I56" s="38"/>
    </row>
    <row r="57" spans="1:9" x14ac:dyDescent="0.25">
      <c r="A57" s="34"/>
      <c r="B57" s="36" t="s">
        <v>409</v>
      </c>
      <c r="C57" s="44">
        <f>+C19-C12</f>
        <v>33</v>
      </c>
      <c r="D57" s="39" t="s">
        <v>0</v>
      </c>
      <c r="E57" s="37" t="s">
        <v>51</v>
      </c>
      <c r="F57" s="37"/>
      <c r="G57" s="37"/>
      <c r="H57" s="37"/>
      <c r="I57" s="38"/>
    </row>
    <row r="58" spans="1:9" ht="18" x14ac:dyDescent="0.35">
      <c r="A58" s="34"/>
      <c r="B58" s="36" t="s">
        <v>50</v>
      </c>
      <c r="C58" s="44">
        <v>1</v>
      </c>
      <c r="D58" s="39"/>
      <c r="E58" s="37" t="s">
        <v>49</v>
      </c>
      <c r="F58" s="37"/>
      <c r="G58" s="37"/>
      <c r="H58" s="37"/>
      <c r="I58" s="38"/>
    </row>
    <row r="59" spans="1:9" ht="18" x14ac:dyDescent="0.35">
      <c r="A59" s="34"/>
      <c r="B59" s="36" t="s">
        <v>47</v>
      </c>
      <c r="C59" s="61">
        <f>0.02*C58*C11*1000/(C10*1000)^0.5*L21*0.7</f>
        <v>21.624086570303955</v>
      </c>
      <c r="D59" s="39" t="s">
        <v>0</v>
      </c>
      <c r="E59" s="37" t="str">
        <f>+IF(C59&gt;C57,"NG; insufficient length available to develop hook","OK; sufficient length available to develop hook")</f>
        <v>OK; sufficient length available to develop hook</v>
      </c>
      <c r="F59" s="37"/>
      <c r="G59" s="37"/>
      <c r="H59" s="37"/>
      <c r="I59" s="38"/>
    </row>
    <row r="60" spans="1:9" x14ac:dyDescent="0.25">
      <c r="A60" s="34"/>
      <c r="B60" s="36" t="s">
        <v>410</v>
      </c>
      <c r="C60" s="66">
        <f>+C56/L22</f>
        <v>7.32604944245496</v>
      </c>
      <c r="D60" s="39"/>
      <c r="E60" s="37"/>
      <c r="F60" s="37"/>
      <c r="G60" s="37"/>
      <c r="H60" s="37"/>
      <c r="I60" s="38"/>
    </row>
    <row r="61" spans="1:9" x14ac:dyDescent="0.25">
      <c r="A61" s="34"/>
      <c r="B61" s="59" t="s">
        <v>411</v>
      </c>
      <c r="C61" s="84">
        <v>4</v>
      </c>
      <c r="D61" s="39"/>
      <c r="E61" s="37"/>
      <c r="F61" s="37"/>
      <c r="G61" s="37"/>
      <c r="H61" s="37"/>
      <c r="I61" s="38"/>
    </row>
    <row r="62" spans="1:9" x14ac:dyDescent="0.25">
      <c r="A62" s="34"/>
      <c r="B62" s="37"/>
      <c r="C62" s="37"/>
      <c r="D62" s="37"/>
      <c r="E62" s="37"/>
      <c r="F62" s="37"/>
      <c r="G62" s="37"/>
      <c r="H62" s="37"/>
      <c r="I62" s="38"/>
    </row>
    <row r="63" spans="1:9" x14ac:dyDescent="0.25">
      <c r="A63" s="34"/>
      <c r="B63" s="37"/>
      <c r="C63" s="37"/>
      <c r="D63" s="37"/>
      <c r="E63" s="37"/>
      <c r="F63" s="37"/>
      <c r="G63" s="37"/>
      <c r="H63" s="37"/>
      <c r="I63" s="38"/>
    </row>
    <row r="64" spans="1:9" x14ac:dyDescent="0.25">
      <c r="A64" s="34"/>
      <c r="B64" s="37"/>
      <c r="C64" s="37"/>
      <c r="D64" s="37"/>
      <c r="E64" s="37"/>
      <c r="F64" s="37"/>
      <c r="G64" s="37"/>
      <c r="H64" s="37"/>
      <c r="I64" s="38"/>
    </row>
    <row r="65" spans="1:9" x14ac:dyDescent="0.25">
      <c r="A65" s="34"/>
      <c r="B65" s="37"/>
      <c r="C65" s="37"/>
      <c r="D65" s="37"/>
      <c r="E65" s="37"/>
      <c r="F65" s="37"/>
      <c r="G65" s="37"/>
      <c r="H65" s="37"/>
      <c r="I65" s="38"/>
    </row>
    <row r="66" spans="1:9" x14ac:dyDescent="0.25">
      <c r="A66" s="34"/>
      <c r="B66" s="37"/>
      <c r="C66" s="37"/>
      <c r="D66" s="37"/>
      <c r="E66" s="37"/>
      <c r="F66" s="37"/>
      <c r="G66" s="37"/>
      <c r="H66" s="37"/>
      <c r="I66" s="38"/>
    </row>
    <row r="67" spans="1:9" x14ac:dyDescent="0.25">
      <c r="A67" s="34"/>
      <c r="B67" s="37"/>
      <c r="C67" s="37"/>
      <c r="D67" s="37"/>
      <c r="E67" s="37"/>
      <c r="F67" s="37"/>
      <c r="G67" s="37"/>
      <c r="H67" s="37"/>
      <c r="I67" s="38"/>
    </row>
    <row r="68" spans="1:9" ht="18.75" x14ac:dyDescent="0.3">
      <c r="A68" s="58"/>
      <c r="B68" s="37"/>
      <c r="C68" s="37"/>
      <c r="D68" s="37"/>
      <c r="E68" s="37"/>
      <c r="F68" s="37"/>
      <c r="G68" s="37"/>
      <c r="H68" s="37"/>
      <c r="I68" s="38"/>
    </row>
    <row r="69" spans="1:9" x14ac:dyDescent="0.25">
      <c r="A69" s="34"/>
      <c r="B69" s="37"/>
      <c r="C69" s="37"/>
      <c r="D69" s="37"/>
      <c r="E69" s="37"/>
      <c r="F69" s="37"/>
      <c r="G69" s="37"/>
      <c r="H69" s="37"/>
      <c r="I69" s="38"/>
    </row>
    <row r="70" spans="1:9" x14ac:dyDescent="0.25">
      <c r="A70" s="34"/>
      <c r="B70" s="37"/>
      <c r="C70" s="37"/>
      <c r="D70" s="37"/>
      <c r="E70" s="37"/>
      <c r="F70" s="37"/>
      <c r="G70" s="37"/>
      <c r="H70" s="37"/>
      <c r="I70" s="38"/>
    </row>
    <row r="71" spans="1:9" x14ac:dyDescent="0.25">
      <c r="A71" s="34"/>
      <c r="B71" s="37"/>
      <c r="C71" s="37"/>
      <c r="D71" s="37"/>
      <c r="E71" s="37"/>
      <c r="F71" s="37"/>
      <c r="G71" s="37"/>
      <c r="H71" s="37"/>
      <c r="I71" s="38"/>
    </row>
    <row r="72" spans="1:9" x14ac:dyDescent="0.25">
      <c r="A72" s="34"/>
      <c r="B72" s="37"/>
      <c r="C72" s="37"/>
      <c r="D72" s="37"/>
      <c r="E72" s="37"/>
      <c r="F72" s="37"/>
      <c r="G72" s="37"/>
      <c r="H72" s="37"/>
      <c r="I72" s="38"/>
    </row>
    <row r="73" spans="1:9" x14ac:dyDescent="0.25">
      <c r="A73" s="34"/>
      <c r="B73" s="37"/>
      <c r="C73" s="37"/>
      <c r="D73" s="37"/>
      <c r="E73" s="37"/>
      <c r="F73" s="37"/>
      <c r="G73" s="37"/>
      <c r="H73" s="37"/>
      <c r="I73" s="38"/>
    </row>
    <row r="74" spans="1:9" x14ac:dyDescent="0.25">
      <c r="A74" s="34"/>
      <c r="B74" s="37"/>
      <c r="C74" s="37"/>
      <c r="D74" s="37"/>
      <c r="E74" s="37"/>
      <c r="F74" s="37"/>
      <c r="G74" s="37"/>
      <c r="H74" s="37"/>
      <c r="I74" s="38"/>
    </row>
    <row r="75" spans="1:9" x14ac:dyDescent="0.25">
      <c r="A75" s="34"/>
      <c r="B75" s="37"/>
      <c r="C75" s="37"/>
      <c r="D75" s="37"/>
      <c r="E75" s="37"/>
      <c r="F75" s="37"/>
      <c r="G75" s="37"/>
      <c r="H75" s="37"/>
      <c r="I75" s="38"/>
    </row>
    <row r="76" spans="1:9" x14ac:dyDescent="0.25">
      <c r="A76" s="34"/>
      <c r="B76" s="37"/>
      <c r="C76" s="37"/>
      <c r="D76" s="37"/>
      <c r="E76" s="37"/>
      <c r="F76" s="37"/>
      <c r="G76" s="37"/>
      <c r="H76" s="37"/>
      <c r="I76" s="38"/>
    </row>
    <row r="77" spans="1:9" x14ac:dyDescent="0.25">
      <c r="A77" s="34"/>
      <c r="B77" s="37"/>
      <c r="C77" s="37"/>
      <c r="D77" s="37"/>
      <c r="E77" s="37"/>
      <c r="F77" s="37"/>
      <c r="G77" s="37"/>
      <c r="H77" s="37"/>
      <c r="I77" s="38"/>
    </row>
    <row r="78" spans="1:9" x14ac:dyDescent="0.25">
      <c r="A78" s="34"/>
      <c r="B78" s="37"/>
      <c r="C78" s="37"/>
      <c r="D78" s="37"/>
      <c r="E78" s="37"/>
      <c r="F78" s="37"/>
      <c r="G78" s="37"/>
      <c r="H78" s="37"/>
      <c r="I78" s="38"/>
    </row>
    <row r="79" spans="1:9" x14ac:dyDescent="0.25">
      <c r="A79" s="34"/>
      <c r="B79" s="37"/>
      <c r="C79" s="37"/>
      <c r="D79" s="37"/>
      <c r="E79" s="37"/>
      <c r="F79" s="37"/>
      <c r="G79" s="37"/>
      <c r="H79" s="37"/>
      <c r="I79" s="38"/>
    </row>
    <row r="80" spans="1:9" x14ac:dyDescent="0.25">
      <c r="A80" s="34"/>
      <c r="B80" s="37"/>
      <c r="C80" s="37"/>
      <c r="D80" s="37"/>
      <c r="E80" s="37"/>
      <c r="F80" s="37"/>
      <c r="G80" s="37"/>
      <c r="H80" s="37"/>
      <c r="I80" s="38"/>
    </row>
    <row r="81" spans="1:17" x14ac:dyDescent="0.25">
      <c r="A81" s="34"/>
      <c r="B81" s="37"/>
      <c r="C81" s="37"/>
      <c r="D81" s="37"/>
      <c r="E81" s="37"/>
      <c r="F81" s="37"/>
      <c r="G81" s="37"/>
      <c r="H81" s="37"/>
      <c r="I81" s="38"/>
    </row>
    <row r="82" spans="1:17" x14ac:dyDescent="0.25">
      <c r="A82" s="34"/>
      <c r="B82" s="37"/>
      <c r="C82" s="37"/>
      <c r="D82" s="37"/>
      <c r="E82" s="37"/>
      <c r="F82" s="37"/>
      <c r="G82" s="37"/>
      <c r="H82" s="37"/>
      <c r="I82" s="38"/>
    </row>
    <row r="83" spans="1:17" x14ac:dyDescent="0.25">
      <c r="A83" s="34"/>
      <c r="B83" s="37"/>
      <c r="C83" s="37"/>
      <c r="D83" s="37"/>
      <c r="E83" s="37"/>
      <c r="F83" s="37"/>
      <c r="G83" s="37"/>
      <c r="H83" s="37"/>
      <c r="I83" s="38"/>
    </row>
    <row r="84" spans="1:17" x14ac:dyDescent="0.25">
      <c r="A84" s="34"/>
      <c r="B84" s="37"/>
      <c r="C84" s="37"/>
      <c r="D84" s="37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48.5</v>
      </c>
      <c r="N86" s="16" t="s">
        <v>0</v>
      </c>
      <c r="O86" s="51"/>
      <c r="P86" s="51"/>
    </row>
    <row r="87" spans="1:17" x14ac:dyDescent="0.25">
      <c r="A87" s="59" t="s">
        <v>1</v>
      </c>
      <c r="B87" s="40">
        <f>+C21-C15-C16-1</f>
        <v>56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+C18/2*12/0.866+C12</f>
        <v>37.64203233256351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41">
        <f>+B87/2</f>
        <v>28</v>
      </c>
      <c r="C88" s="39" t="s">
        <v>0</v>
      </c>
      <c r="D88" s="37"/>
      <c r="E88" s="37"/>
      <c r="F88" s="37"/>
      <c r="G88" s="70"/>
      <c r="H88" s="37"/>
      <c r="I88" s="38"/>
      <c r="K88" s="51"/>
      <c r="L88" s="51"/>
      <c r="M88" s="51"/>
      <c r="N88" s="51"/>
      <c r="O88" s="51"/>
    </row>
    <row r="89" spans="1:17" x14ac:dyDescent="0.25">
      <c r="A89" s="34"/>
      <c r="B89" s="70"/>
      <c r="C89" s="70"/>
      <c r="D89" s="71" t="s">
        <v>413</v>
      </c>
      <c r="E89" s="72">
        <f>+IF(M86&gt;O87,0,3)</f>
        <v>0</v>
      </c>
      <c r="F89" s="37"/>
      <c r="G89" s="37"/>
      <c r="H89" s="37"/>
      <c r="I89" s="38"/>
    </row>
    <row r="90" spans="1:17" ht="18.75" x14ac:dyDescent="0.35">
      <c r="A90" s="59" t="s">
        <v>3</v>
      </c>
      <c r="B90" s="60">
        <f>4*(C10*1000)^0.5</f>
        <v>219.08902300206645</v>
      </c>
      <c r="C90" s="39" t="s">
        <v>5</v>
      </c>
      <c r="D90" s="37"/>
      <c r="E90" s="37"/>
      <c r="F90" s="37"/>
      <c r="G90" s="37"/>
      <c r="H90" s="37"/>
      <c r="I90" s="38"/>
    </row>
    <row r="91" spans="1:17" ht="18" x14ac:dyDescent="0.35">
      <c r="A91" s="59" t="s">
        <v>11</v>
      </c>
      <c r="B91" s="68">
        <f>3.1415*(B87+C43)</f>
        <v>304.72550000000001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219.08902300206645</v>
      </c>
      <c r="P91" s="16" t="s">
        <v>5</v>
      </c>
    </row>
    <row r="92" spans="1:17" ht="18.75" x14ac:dyDescent="0.35">
      <c r="A92" s="59" t="s">
        <v>7</v>
      </c>
      <c r="B92" s="68">
        <f>+B90*B91*B87/1000</f>
        <v>3738.6726764137074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2804.0045073102806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+E89*C7*C14-C7*0.15*C22*C23*C21/12+C7*0.15*2*U22*C21/12+C7*0.15*3.1415*M86^2/4/144*C21/12</f>
        <v>-100.59774069268425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-3.5876454702700122E-2</v>
      </c>
      <c r="C95" s="39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58"/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58"/>
      <c r="B98" s="37"/>
      <c r="C98" s="37"/>
      <c r="D98" s="37"/>
      <c r="E98" s="37"/>
      <c r="F98" s="37"/>
      <c r="G98" s="37"/>
      <c r="H98" s="37"/>
      <c r="I98" s="38"/>
      <c r="K98" s="51"/>
      <c r="M98" s="51"/>
      <c r="O98" s="51"/>
    </row>
    <row r="99" spans="1:17" x14ac:dyDescent="0.25">
      <c r="A99" s="34"/>
      <c r="B99" s="37"/>
      <c r="C99" s="37"/>
      <c r="D99" s="37"/>
      <c r="E99" s="37"/>
      <c r="F99" s="37"/>
      <c r="G99" s="37"/>
      <c r="H99" s="37"/>
      <c r="I99" s="38"/>
      <c r="K99" s="51"/>
      <c r="L99" s="51"/>
      <c r="M99" s="51"/>
      <c r="N99" s="51"/>
      <c r="O99" s="51"/>
    </row>
    <row r="100" spans="1:17" x14ac:dyDescent="0.25">
      <c r="A100" s="34"/>
      <c r="B100" s="70"/>
      <c r="C100" s="70"/>
      <c r="D100" s="70"/>
      <c r="E100" s="70"/>
      <c r="F100" s="37"/>
      <c r="G100" s="37"/>
      <c r="H100" s="37"/>
      <c r="I100" s="38"/>
    </row>
    <row r="101" spans="1:17" x14ac:dyDescent="0.25">
      <c r="A101" s="34"/>
      <c r="B101" s="37"/>
      <c r="C101" s="37"/>
      <c r="D101" s="37"/>
      <c r="E101" s="37"/>
      <c r="F101" s="37"/>
      <c r="G101" s="37"/>
      <c r="H101" s="37"/>
      <c r="I101" s="38"/>
    </row>
    <row r="102" spans="1:17" x14ac:dyDescent="0.25">
      <c r="A102" s="34"/>
      <c r="B102" s="37"/>
      <c r="C102" s="37"/>
      <c r="D102" s="37"/>
      <c r="E102" s="37"/>
      <c r="F102" s="37"/>
      <c r="G102" s="37"/>
      <c r="H102" s="37"/>
      <c r="I102" s="38"/>
    </row>
    <row r="103" spans="1:17" x14ac:dyDescent="0.25">
      <c r="A103" s="34"/>
      <c r="B103" s="37"/>
      <c r="C103" s="37"/>
      <c r="D103" s="37"/>
      <c r="E103" s="37"/>
      <c r="F103" s="37"/>
      <c r="G103" s="37"/>
      <c r="H103" s="37"/>
      <c r="I103" s="38"/>
    </row>
    <row r="104" spans="1:17" x14ac:dyDescent="0.25">
      <c r="A104" s="34"/>
      <c r="B104" s="37"/>
      <c r="C104" s="37"/>
      <c r="D104" s="37"/>
      <c r="E104" s="37"/>
      <c r="F104" s="37"/>
      <c r="G104" s="37"/>
      <c r="H104" s="37"/>
      <c r="I104" s="38"/>
    </row>
    <row r="105" spans="1:17" x14ac:dyDescent="0.25">
      <c r="A105" s="34"/>
      <c r="B105" s="37"/>
      <c r="C105" s="37"/>
      <c r="D105" s="37"/>
      <c r="E105" s="37"/>
      <c r="F105" s="37"/>
      <c r="G105" s="37"/>
      <c r="H105" s="37"/>
      <c r="I105" s="38"/>
    </row>
    <row r="106" spans="1:17" x14ac:dyDescent="0.25">
      <c r="A106" s="34"/>
      <c r="B106" s="37"/>
      <c r="C106" s="37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76.5</v>
      </c>
      <c r="N109" s="16" t="s">
        <v>0</v>
      </c>
      <c r="O109" s="51"/>
    </row>
    <row r="110" spans="1:17" x14ac:dyDescent="0.25">
      <c r="A110" s="59" t="s">
        <v>1</v>
      </c>
      <c r="B110" s="80">
        <f>+C21-C15-C16-1</f>
        <v>56</v>
      </c>
      <c r="C110" s="39" t="s">
        <v>0</v>
      </c>
      <c r="D110" s="37"/>
      <c r="E110" s="37"/>
      <c r="F110" s="37"/>
      <c r="G110" s="37"/>
      <c r="H110" s="37"/>
      <c r="I110" s="38"/>
      <c r="J110" s="16" t="s">
        <v>293</v>
      </c>
      <c r="K110" s="51"/>
      <c r="L110" s="51"/>
      <c r="M110" s="51"/>
      <c r="N110" s="51"/>
      <c r="O110" s="51">
        <f>0.5*C18*12/0.866+C12</f>
        <v>37.64203233256351</v>
      </c>
      <c r="P110" s="16" t="s">
        <v>0</v>
      </c>
      <c r="Q110" s="16" t="s">
        <v>119</v>
      </c>
    </row>
    <row r="111" spans="1:17" x14ac:dyDescent="0.25">
      <c r="A111" s="34"/>
      <c r="B111" s="70"/>
      <c r="C111" s="39"/>
      <c r="D111" s="59" t="s">
        <v>414</v>
      </c>
      <c r="E111" s="72">
        <f>+IF(M109&gt;O110,0,1)</f>
        <v>0</v>
      </c>
      <c r="F111" s="37"/>
      <c r="G111" s="37"/>
      <c r="H111" s="37"/>
      <c r="I111" s="38"/>
    </row>
    <row r="112" spans="1:17" ht="18.75" x14ac:dyDescent="0.35">
      <c r="A112" s="59" t="s">
        <v>60</v>
      </c>
      <c r="B112" s="60">
        <f>2*(C10*1000)^0.5</f>
        <v>109.54451150103323</v>
      </c>
      <c r="C112" s="39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109.54451150103323</v>
      </c>
      <c r="P112" s="16" t="s">
        <v>5</v>
      </c>
    </row>
    <row r="113" spans="1:17" x14ac:dyDescent="0.25">
      <c r="A113" s="59" t="s">
        <v>61</v>
      </c>
      <c r="B113" s="68">
        <f>+M116*12*B110</f>
        <v>1948.8950230474452</v>
      </c>
      <c r="C113" s="39" t="s">
        <v>407</v>
      </c>
      <c r="D113" s="37"/>
      <c r="E113" s="37"/>
      <c r="F113" s="37"/>
      <c r="G113" s="37"/>
      <c r="H113" s="37"/>
      <c r="I113" s="38"/>
    </row>
    <row r="114" spans="1:17" ht="18.75" x14ac:dyDescent="0.35">
      <c r="A114" s="59" t="s">
        <v>7</v>
      </c>
      <c r="B114" s="68">
        <f>+B112*B113/1000</f>
        <v>213.49075326652729</v>
      </c>
      <c r="C114" s="39" t="s">
        <v>18</v>
      </c>
      <c r="D114" s="37" t="s">
        <v>62</v>
      </c>
      <c r="E114" s="37"/>
      <c r="F114" s="37"/>
      <c r="G114" s="37"/>
      <c r="H114" s="37"/>
      <c r="I114" s="38"/>
      <c r="N114" s="16" t="s">
        <v>294</v>
      </c>
      <c r="Q114" s="16">
        <f>+C19/12+0.2887*C18</f>
        <v>4.4435000000000002</v>
      </c>
    </row>
    <row r="115" spans="1:17" ht="18" x14ac:dyDescent="0.35">
      <c r="A115" s="59" t="s">
        <v>12</v>
      </c>
      <c r="B115" s="68">
        <f>+B114*0.75</f>
        <v>160.11806494989548</v>
      </c>
      <c r="C115" s="39" t="s">
        <v>18</v>
      </c>
      <c r="D115" s="37"/>
      <c r="E115" s="37"/>
      <c r="F115" s="37"/>
      <c r="G115" s="37"/>
      <c r="H115" s="37"/>
      <c r="I115" s="38"/>
      <c r="L115" s="16" t="s">
        <v>268</v>
      </c>
      <c r="M115" s="16">
        <f>+C22</f>
        <v>11</v>
      </c>
      <c r="N115" s="16" t="s">
        <v>296</v>
      </c>
      <c r="Q115" s="16">
        <f>+(C22-F20)/(C23-F21)</f>
        <v>1.1546813304236168</v>
      </c>
    </row>
    <row r="116" spans="1:17" ht="18" x14ac:dyDescent="0.35">
      <c r="A116" s="59" t="s">
        <v>57</v>
      </c>
      <c r="B116" s="68">
        <f>+E111*C14*C7</f>
        <v>0</v>
      </c>
      <c r="C116" s="39" t="s">
        <v>18</v>
      </c>
      <c r="D116" s="37" t="s">
        <v>131</v>
      </c>
      <c r="E116" s="37"/>
      <c r="F116" s="37"/>
      <c r="G116" s="37"/>
      <c r="H116" s="37"/>
      <c r="I116" s="38"/>
      <c r="L116" s="16" t="s">
        <v>267</v>
      </c>
      <c r="M116" s="16">
        <f>Q116-M109/12*Q115</f>
        <v>2.9001414033444126</v>
      </c>
      <c r="N116" s="16" t="s">
        <v>295</v>
      </c>
      <c r="Q116" s="16">
        <f>+M115-(Q114-F21)*Q115</f>
        <v>10.26123488479497</v>
      </c>
    </row>
    <row r="117" spans="1:17" ht="18" x14ac:dyDescent="0.35">
      <c r="A117" s="59" t="s">
        <v>14</v>
      </c>
      <c r="B117" s="63">
        <f>+B116/B115</f>
        <v>0</v>
      </c>
      <c r="C117" s="39"/>
      <c r="D117" s="37"/>
      <c r="E117" s="37"/>
      <c r="F117" s="37"/>
      <c r="G117" s="37"/>
      <c r="H117" s="37"/>
      <c r="I117" s="38"/>
    </row>
    <row r="118" spans="1:17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17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17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17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17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17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17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17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17" x14ac:dyDescent="0.2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</row>
    <row r="127" spans="1:17" ht="18.75" x14ac:dyDescent="0.3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</row>
    <row r="128" spans="1:17" x14ac:dyDescent="0.25">
      <c r="A128" s="59" t="s">
        <v>1</v>
      </c>
      <c r="B128" s="43">
        <f>+C21-C15-C16-1</f>
        <v>56</v>
      </c>
      <c r="C128" s="39" t="s">
        <v>0</v>
      </c>
      <c r="D128" s="37"/>
      <c r="E128" s="37"/>
      <c r="F128" s="37"/>
      <c r="G128" s="37"/>
      <c r="H128" s="37"/>
      <c r="I128" s="38"/>
    </row>
    <row r="129" spans="1:16" x14ac:dyDescent="0.25">
      <c r="A129" s="59" t="s">
        <v>53</v>
      </c>
      <c r="B129" s="63">
        <f>+B128/2</f>
        <v>28</v>
      </c>
      <c r="C129" s="39" t="s">
        <v>0</v>
      </c>
      <c r="D129" s="37"/>
      <c r="E129" s="37"/>
      <c r="F129" s="37"/>
      <c r="G129" s="37"/>
      <c r="H129" s="37"/>
      <c r="I129" s="38"/>
    </row>
    <row r="130" spans="1:16" x14ac:dyDescent="0.25">
      <c r="A130" s="34"/>
      <c r="B130" s="37"/>
      <c r="C130" s="37"/>
      <c r="D130" s="59" t="s">
        <v>453</v>
      </c>
      <c r="E130" s="72">
        <v>3</v>
      </c>
      <c r="F130" s="37"/>
      <c r="G130" s="37"/>
      <c r="H130" s="37"/>
      <c r="I130" s="38"/>
    </row>
    <row r="131" spans="1:16" ht="18" x14ac:dyDescent="0.35">
      <c r="A131" s="59" t="s">
        <v>452</v>
      </c>
      <c r="B131" s="43">
        <f>+C18*12/2/0.866-C43/2+C12</f>
        <v>17.14203233256351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</row>
    <row r="132" spans="1:16" ht="18" x14ac:dyDescent="0.35">
      <c r="A132" s="59" t="s">
        <v>57</v>
      </c>
      <c r="B132" s="68">
        <f>+C14*E130*C7-C7*0.15*C22*C23*C21/12+C7*0.15*2*U22*C21/12+C7*0.15*3.1415*C43^2/4/144*C21/12</f>
        <v>5174.5697487604402</v>
      </c>
      <c r="C132" s="39" t="s">
        <v>18</v>
      </c>
      <c r="D132" s="37"/>
      <c r="E132" s="37"/>
      <c r="F132" s="37"/>
      <c r="G132" s="37"/>
      <c r="H132" s="37"/>
      <c r="I132" s="38"/>
    </row>
    <row r="133" spans="1:16" ht="18.75" x14ac:dyDescent="0.35">
      <c r="A133" s="59" t="s">
        <v>3</v>
      </c>
      <c r="B133" s="68">
        <f>4*(C10*1000)^0.5</f>
        <v>219.08902300206645</v>
      </c>
      <c r="C133" s="39" t="s">
        <v>5</v>
      </c>
      <c r="D133" s="37"/>
      <c r="E133" s="37"/>
      <c r="F133" s="37"/>
      <c r="G133" s="37"/>
      <c r="H133" s="37"/>
      <c r="I133" s="38"/>
    </row>
    <row r="134" spans="1:16" ht="18.75" x14ac:dyDescent="0.35">
      <c r="A134" s="59" t="s">
        <v>4</v>
      </c>
      <c r="B134" s="68">
        <f>+B133*8</f>
        <v>1752.7121840165316</v>
      </c>
      <c r="C134" s="39" t="s">
        <v>5</v>
      </c>
      <c r="D134" s="37"/>
      <c r="E134" s="37"/>
      <c r="F134" s="37"/>
      <c r="G134" s="37"/>
      <c r="H134" s="37"/>
      <c r="I134" s="38"/>
    </row>
    <row r="135" spans="1:16" ht="18" x14ac:dyDescent="0.35">
      <c r="A135" s="59" t="s">
        <v>11</v>
      </c>
      <c r="B135" s="61">
        <f>3.1415*(B128+C43)</f>
        <v>304.72550000000001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846.65059449457158</v>
      </c>
      <c r="P135" s="16" t="s">
        <v>5</v>
      </c>
    </row>
    <row r="136" spans="1:16" ht="18" x14ac:dyDescent="0.35">
      <c r="A136" s="59" t="s">
        <v>2</v>
      </c>
      <c r="B136" s="61">
        <f>3.1415*C43</f>
        <v>128.8015</v>
      </c>
      <c r="C136" s="39" t="s">
        <v>0</v>
      </c>
      <c r="D136" s="37"/>
      <c r="E136" s="37"/>
      <c r="F136" s="37"/>
      <c r="G136" s="37"/>
      <c r="H136" s="37"/>
      <c r="I136" s="38"/>
    </row>
    <row r="137" spans="1:16" x14ac:dyDescent="0.25">
      <c r="A137" s="59" t="s">
        <v>6</v>
      </c>
      <c r="B137" s="61">
        <f>IF(2*B128/B131*(1+B128/C43)&lt;32,2*B128/B131*(1+B128/C43),32)</f>
        <v>15.457654297661202</v>
      </c>
      <c r="C137" s="39"/>
      <c r="D137" s="37" t="s">
        <v>9</v>
      </c>
      <c r="E137" s="37"/>
      <c r="F137" s="37"/>
      <c r="G137" s="37"/>
      <c r="H137" s="37"/>
      <c r="I137" s="38"/>
    </row>
    <row r="138" spans="1:16" ht="18.75" x14ac:dyDescent="0.35">
      <c r="A138" s="59" t="s">
        <v>7</v>
      </c>
      <c r="B138" s="68">
        <f>+B137*(C10*1000)^0.5*B136*B128/1000</f>
        <v>6106.7925266203838</v>
      </c>
      <c r="C138" s="39" t="s">
        <v>18</v>
      </c>
      <c r="D138" s="37" t="s">
        <v>10</v>
      </c>
      <c r="E138" s="37"/>
      <c r="F138" s="37"/>
      <c r="G138" s="37"/>
      <c r="H138" s="37"/>
      <c r="I138" s="38"/>
    </row>
    <row r="139" spans="1:16" ht="18" x14ac:dyDescent="0.35">
      <c r="A139" s="59" t="s">
        <v>12</v>
      </c>
      <c r="B139" s="68">
        <f>+B138*0.75</f>
        <v>4580.0943949652883</v>
      </c>
      <c r="C139" s="39" t="s">
        <v>18</v>
      </c>
      <c r="D139" s="37"/>
      <c r="E139" s="37"/>
      <c r="F139" s="37"/>
      <c r="G139" s="37"/>
      <c r="H139" s="37"/>
      <c r="I139" s="38"/>
    </row>
    <row r="140" spans="1:16" ht="18" x14ac:dyDescent="0.35">
      <c r="A140" s="59" t="s">
        <v>14</v>
      </c>
      <c r="B140" s="63">
        <f>+B132/B139</f>
        <v>1.1297954370653658</v>
      </c>
      <c r="C140" s="37"/>
      <c r="D140" s="37"/>
      <c r="E140" s="37"/>
      <c r="F140" s="37"/>
      <c r="G140" s="37"/>
      <c r="H140" s="37"/>
      <c r="I140" s="38"/>
    </row>
    <row r="141" spans="1:16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16" ht="18.75" x14ac:dyDescent="0.3">
      <c r="A142" s="58"/>
      <c r="B142" s="37"/>
      <c r="C142" s="37"/>
      <c r="D142" s="37"/>
      <c r="E142" s="37"/>
      <c r="F142" s="37"/>
      <c r="G142" s="37"/>
      <c r="H142" s="37"/>
      <c r="I142" s="38"/>
    </row>
    <row r="143" spans="1:16" ht="18.75" x14ac:dyDescent="0.3">
      <c r="A143" s="58"/>
      <c r="B143" s="37"/>
      <c r="C143" s="37"/>
      <c r="D143" s="37"/>
      <c r="E143" s="37"/>
      <c r="F143" s="37"/>
      <c r="G143" s="37"/>
      <c r="H143" s="37"/>
      <c r="I143" s="38"/>
    </row>
    <row r="144" spans="1:16" x14ac:dyDescent="0.25">
      <c r="A144" s="34"/>
      <c r="B144" s="37"/>
      <c r="C144" s="37"/>
      <c r="D144" s="37"/>
      <c r="E144" s="37"/>
      <c r="F144" s="37"/>
      <c r="G144" s="37"/>
      <c r="H144" s="37"/>
      <c r="I144" s="38"/>
    </row>
    <row r="145" spans="1:20" x14ac:dyDescent="0.25">
      <c r="A145" s="34"/>
      <c r="B145" s="70"/>
      <c r="C145" s="37"/>
      <c r="D145" s="70"/>
      <c r="E145" s="37"/>
      <c r="F145" s="37"/>
      <c r="G145" s="37"/>
      <c r="H145" s="37"/>
      <c r="I145" s="38"/>
    </row>
    <row r="146" spans="1:20" x14ac:dyDescent="0.25">
      <c r="A146" s="34"/>
      <c r="B146" s="70"/>
      <c r="C146" s="37"/>
      <c r="D146" s="70"/>
      <c r="E146" s="37"/>
      <c r="F146" s="37"/>
      <c r="G146" s="37"/>
      <c r="H146" s="37"/>
      <c r="I146" s="38"/>
    </row>
    <row r="147" spans="1:20" x14ac:dyDescent="0.25">
      <c r="A147" s="34"/>
      <c r="B147" s="37"/>
      <c r="C147" s="37"/>
      <c r="D147" s="70"/>
      <c r="E147" s="37"/>
      <c r="F147" s="70"/>
      <c r="G147" s="37"/>
      <c r="H147" s="37"/>
      <c r="I147" s="38"/>
    </row>
    <row r="148" spans="1:20" x14ac:dyDescent="0.25">
      <c r="A148" s="34"/>
      <c r="B148" s="37"/>
      <c r="C148" s="37"/>
      <c r="D148" s="70"/>
      <c r="E148" s="37"/>
      <c r="F148" s="70"/>
      <c r="G148" s="37"/>
      <c r="H148" s="37"/>
      <c r="I148" s="38"/>
    </row>
    <row r="149" spans="1:20" x14ac:dyDescent="0.25">
      <c r="A149" s="34"/>
      <c r="B149" s="70"/>
      <c r="C149" s="70"/>
      <c r="D149" s="70"/>
      <c r="E149" s="70"/>
      <c r="F149" s="70"/>
      <c r="G149" s="37"/>
      <c r="H149" s="37"/>
      <c r="I149" s="38"/>
    </row>
    <row r="150" spans="1:20" x14ac:dyDescent="0.25">
      <c r="A150" s="34"/>
      <c r="B150" s="70"/>
      <c r="C150" s="70"/>
      <c r="D150" s="70"/>
      <c r="E150" s="70"/>
      <c r="F150" s="70"/>
      <c r="G150" s="37"/>
      <c r="H150" s="37"/>
      <c r="I150" s="38"/>
    </row>
    <row r="151" spans="1:20" x14ac:dyDescent="0.25">
      <c r="A151" s="34"/>
      <c r="B151" s="70"/>
      <c r="C151" s="70"/>
      <c r="D151" s="70"/>
      <c r="E151" s="70"/>
      <c r="F151" s="37"/>
      <c r="G151" s="37"/>
      <c r="H151" s="37"/>
      <c r="I151" s="38"/>
    </row>
    <row r="152" spans="1:20" x14ac:dyDescent="0.25">
      <c r="A152" s="34"/>
      <c r="B152" s="37"/>
      <c r="C152" s="37"/>
      <c r="D152" s="37"/>
      <c r="E152" s="37"/>
      <c r="F152" s="37"/>
      <c r="G152" s="37"/>
      <c r="H152" s="37"/>
      <c r="I152" s="38"/>
    </row>
    <row r="153" spans="1:20" x14ac:dyDescent="0.25">
      <c r="A153" s="34"/>
      <c r="B153" s="37"/>
      <c r="C153" s="37"/>
      <c r="D153" s="37"/>
      <c r="E153" s="37"/>
      <c r="F153" s="37"/>
      <c r="G153" s="37"/>
      <c r="H153" s="37"/>
      <c r="I153" s="38"/>
    </row>
    <row r="154" spans="1:20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20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20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  <c r="N156" s="16" t="s">
        <v>294</v>
      </c>
      <c r="Q156" s="16">
        <f>+C19/12+0.2887*C18</f>
        <v>4.4435000000000002</v>
      </c>
      <c r="R156" s="34" t="s">
        <v>1</v>
      </c>
      <c r="S156" s="37">
        <f>+B157</f>
        <v>54.885000000000005</v>
      </c>
      <c r="T156" s="37" t="s">
        <v>0</v>
      </c>
    </row>
    <row r="157" spans="1:20" x14ac:dyDescent="0.25">
      <c r="A157" s="59" t="s">
        <v>1</v>
      </c>
      <c r="B157" s="40">
        <f>+C21-C15-C16-L21-L21/2</f>
        <v>54.885000000000005</v>
      </c>
      <c r="C157" s="39" t="s">
        <v>0</v>
      </c>
      <c r="D157" s="37"/>
      <c r="E157" s="37"/>
      <c r="F157" s="37"/>
      <c r="G157" s="37"/>
      <c r="H157" s="37"/>
      <c r="I157" s="38"/>
      <c r="L157" s="16" t="s">
        <v>268</v>
      </c>
      <c r="M157" s="16">
        <f>+C22</f>
        <v>11</v>
      </c>
      <c r="N157" s="16" t="s">
        <v>296</v>
      </c>
      <c r="Q157" s="16">
        <f>+(C22-F20)/(C23-F21)</f>
        <v>1.1546813304236168</v>
      </c>
      <c r="R157" s="34" t="s">
        <v>63</v>
      </c>
      <c r="S157" s="70">
        <f>+C18*12*0.2887-C43/2+C12</f>
        <v>-0.17800000000000082</v>
      </c>
      <c r="T157" s="37" t="s">
        <v>0</v>
      </c>
    </row>
    <row r="158" spans="1:20" x14ac:dyDescent="0.25">
      <c r="A158" s="59" t="s">
        <v>63</v>
      </c>
      <c r="B158" s="61">
        <f>+C18*12*0.577-C43/2+C12</f>
        <v>17.119999999999997</v>
      </c>
      <c r="C158" s="39" t="s">
        <v>0</v>
      </c>
      <c r="D158" s="70"/>
      <c r="E158" s="37"/>
      <c r="F158" s="37"/>
      <c r="G158" s="37"/>
      <c r="H158" s="37"/>
      <c r="I158" s="38"/>
      <c r="L158" s="16" t="s">
        <v>267</v>
      </c>
      <c r="M158" s="16">
        <f>+Q158-(C43/12/2)*Q157</f>
        <v>8.288654278654624</v>
      </c>
      <c r="N158" s="16" t="s">
        <v>295</v>
      </c>
      <c r="Q158" s="16">
        <f>+M115-(Q156-F21)*Q157</f>
        <v>10.26123488479497</v>
      </c>
      <c r="R158" s="34" t="s">
        <v>64</v>
      </c>
      <c r="S158" s="70">
        <f>MAX(S157/S156,0)</f>
        <v>0</v>
      </c>
      <c r="T158" s="37"/>
    </row>
    <row r="159" spans="1:20" ht="18" x14ac:dyDescent="0.35">
      <c r="A159" s="59" t="s">
        <v>64</v>
      </c>
      <c r="B159" s="61">
        <f>MAX(B158/B157,0)</f>
        <v>0.31192493395281035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  <c r="L159" s="16" t="s">
        <v>298</v>
      </c>
      <c r="M159" s="16">
        <f>+Q158-(C43/12/2+B158/12)*Q157</f>
        <v>6.6413089139169319</v>
      </c>
      <c r="R159" s="34" t="s">
        <v>57</v>
      </c>
      <c r="S159" s="37">
        <f>+B160*2</f>
        <v>3520</v>
      </c>
      <c r="T159" s="37" t="s">
        <v>8</v>
      </c>
    </row>
    <row r="160" spans="1:20" ht="18" x14ac:dyDescent="0.35">
      <c r="A160" s="59" t="s">
        <v>57</v>
      </c>
      <c r="B160" s="68">
        <f>1*C7*C14</f>
        <v>1760</v>
      </c>
      <c r="C160" s="39" t="s">
        <v>18</v>
      </c>
      <c r="D160" s="70"/>
      <c r="E160" s="37"/>
      <c r="F160" s="70"/>
      <c r="G160" s="37"/>
      <c r="H160" s="37"/>
      <c r="I160" s="38"/>
      <c r="R160" s="34" t="s">
        <v>25</v>
      </c>
      <c r="S160" s="37">
        <f>+B161*2*S157/B158</f>
        <v>-626.5600000000029</v>
      </c>
      <c r="T160" s="37" t="s">
        <v>26</v>
      </c>
    </row>
    <row r="161" spans="1:32" ht="18" x14ac:dyDescent="0.35">
      <c r="A161" s="59" t="s">
        <v>25</v>
      </c>
      <c r="B161" s="68">
        <f>C7*C14*(1*B158)</f>
        <v>30131.199999999997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547.72255750516615</v>
      </c>
      <c r="P161" s="16" t="s">
        <v>5</v>
      </c>
      <c r="R161" s="34" t="s">
        <v>65</v>
      </c>
      <c r="S161" s="70">
        <f>+S159*S156/S160</f>
        <v>-308.34269662921207</v>
      </c>
      <c r="T161" s="70"/>
    </row>
    <row r="162" spans="1:32" ht="18" x14ac:dyDescent="0.35">
      <c r="A162" s="59" t="s">
        <v>65</v>
      </c>
      <c r="B162" s="61">
        <f>+B160*B157/B161</f>
        <v>3.2058995327102808</v>
      </c>
      <c r="C162" s="39"/>
      <c r="D162" s="70"/>
      <c r="E162" s="70"/>
      <c r="F162" s="70"/>
      <c r="G162" s="37"/>
      <c r="H162" s="37"/>
      <c r="I162" s="38"/>
      <c r="R162" s="34" t="s">
        <v>66</v>
      </c>
      <c r="S162" s="70">
        <f>1/S161</f>
        <v>-3.2431447572196558E-3</v>
      </c>
      <c r="T162" s="70"/>
    </row>
    <row r="163" spans="1:32" ht="18" x14ac:dyDescent="0.35">
      <c r="A163" s="59" t="s">
        <v>415</v>
      </c>
      <c r="B163" s="61">
        <f>1/B162</f>
        <v>0.3119249339528104</v>
      </c>
      <c r="C163" s="39"/>
      <c r="D163" s="70"/>
      <c r="E163" s="70"/>
      <c r="F163" s="70"/>
      <c r="G163" s="37"/>
      <c r="H163" s="37"/>
      <c r="I163" s="38"/>
      <c r="R163" s="34" t="s">
        <v>6</v>
      </c>
      <c r="S163" s="70" t="e">
        <f>+MIN(1/S158*(3.5-2.5*S162)*(1.9+0.1*S161),10)</f>
        <v>#DIV/0!</v>
      </c>
      <c r="T163" s="70"/>
    </row>
    <row r="164" spans="1:32" ht="18" x14ac:dyDescent="0.35">
      <c r="A164" s="59" t="s">
        <v>6</v>
      </c>
      <c r="B164" s="61">
        <f>+MIN(1/B159*(3.5-2.5*B163)*(1.9+0.1*B162),10)</f>
        <v>10</v>
      </c>
      <c r="C164" s="39"/>
      <c r="D164" s="70"/>
      <c r="E164" s="70"/>
      <c r="F164" s="37"/>
      <c r="G164" s="37"/>
      <c r="H164" s="37"/>
      <c r="I164" s="38"/>
      <c r="R164" s="34" t="s">
        <v>12</v>
      </c>
      <c r="S164" s="37" t="e">
        <f>0.75*S163*(C10*1000)^0.5/1000*M157*12*S156</f>
        <v>#DIV/0!</v>
      </c>
      <c r="T164" s="37" t="s">
        <v>8</v>
      </c>
    </row>
    <row r="165" spans="1:32" ht="18" x14ac:dyDescent="0.35">
      <c r="A165" s="59" t="s">
        <v>12</v>
      </c>
      <c r="B165" s="68">
        <f>0.75*B164*(C10*1000)^0.5/1000*M158*12*B157</f>
        <v>2242.5432664695472</v>
      </c>
      <c r="C165" s="39" t="s">
        <v>18</v>
      </c>
      <c r="D165" s="37"/>
      <c r="E165" s="37"/>
      <c r="F165" s="37"/>
      <c r="G165" s="37"/>
      <c r="H165" s="37"/>
      <c r="I165" s="38"/>
      <c r="R165" s="34" t="s">
        <v>14</v>
      </c>
      <c r="S165" s="37" t="e">
        <f>+S159/S164</f>
        <v>#DIV/0!</v>
      </c>
      <c r="T165" s="37"/>
    </row>
    <row r="166" spans="1:32" ht="18" x14ac:dyDescent="0.35">
      <c r="A166" s="59" t="s">
        <v>14</v>
      </c>
      <c r="B166" s="63">
        <f>+B160/B165</f>
        <v>0.78482320779067116</v>
      </c>
      <c r="C166" s="37" t="s">
        <v>348</v>
      </c>
      <c r="D166" s="37" t="e">
        <f>+S165</f>
        <v>#DIV/0!</v>
      </c>
      <c r="E166" s="37" t="s">
        <v>349</v>
      </c>
      <c r="F166" s="115" t="e">
        <f>MAX(B166,D166)</f>
        <v>#DIV/0!</v>
      </c>
      <c r="G166" s="115" t="s">
        <v>350</v>
      </c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73"/>
      <c r="C168" s="73"/>
      <c r="D168" s="73"/>
      <c r="E168" s="73"/>
      <c r="F168" s="73"/>
      <c r="G168" s="73"/>
      <c r="H168" s="73"/>
      <c r="I168" s="74"/>
      <c r="Q168" s="16" t="s">
        <v>1</v>
      </c>
      <c r="T168" s="16">
        <f>+C28</f>
        <v>56</v>
      </c>
      <c r="U168" s="16" t="s">
        <v>0</v>
      </c>
      <c r="W168" s="51"/>
    </row>
    <row r="169" spans="1:32" x14ac:dyDescent="0.25">
      <c r="A169" s="75" t="s">
        <v>68</v>
      </c>
      <c r="B169" s="70"/>
      <c r="C169" s="70"/>
      <c r="D169" s="70"/>
      <c r="E169" s="70"/>
      <c r="F169" s="70"/>
      <c r="G169" s="70"/>
      <c r="H169" s="70"/>
      <c r="I169" s="76"/>
      <c r="Q169" s="16" t="s">
        <v>53</v>
      </c>
      <c r="T169" s="16">
        <f>+T168/2</f>
        <v>28</v>
      </c>
      <c r="U169" s="16" t="s">
        <v>0</v>
      </c>
      <c r="W169" s="51"/>
    </row>
    <row r="170" spans="1:32" x14ac:dyDescent="0.25">
      <c r="A170" s="71" t="s">
        <v>417</v>
      </c>
      <c r="B170" s="77">
        <f>+C23*C22*C21/12/27-2*U22*C21/12/27</f>
        <v>18.137689121974169</v>
      </c>
      <c r="C170" s="39" t="s">
        <v>418</v>
      </c>
      <c r="D170" s="70"/>
      <c r="E170" s="70"/>
      <c r="F170" s="70"/>
      <c r="G170" s="70"/>
      <c r="H170" s="70"/>
      <c r="I170" s="76"/>
      <c r="Q170" s="16" t="s">
        <v>114</v>
      </c>
      <c r="R170" s="51"/>
      <c r="T170" s="51">
        <f>+M29+T168</f>
        <v>76</v>
      </c>
      <c r="U170" s="16" t="s">
        <v>0</v>
      </c>
      <c r="V170" s="51"/>
      <c r="W170" s="51"/>
    </row>
    <row r="171" spans="1:32" ht="17.25" x14ac:dyDescent="0.25">
      <c r="A171" s="75"/>
      <c r="B171" s="70"/>
      <c r="C171" s="70"/>
      <c r="D171" s="70"/>
      <c r="E171" s="70"/>
      <c r="F171" s="70"/>
      <c r="G171" s="70"/>
      <c r="H171" s="70"/>
      <c r="I171" s="76"/>
      <c r="Q171" s="16" t="s">
        <v>85</v>
      </c>
      <c r="R171" s="51"/>
      <c r="S171" s="51"/>
      <c r="T171" s="51">
        <f>3.1415*T170*T168</f>
        <v>13370.224000000002</v>
      </c>
      <c r="U171" s="16" t="s">
        <v>34</v>
      </c>
    </row>
    <row r="172" spans="1:32" ht="18.75" x14ac:dyDescent="0.35">
      <c r="A172" s="75" t="s">
        <v>292</v>
      </c>
      <c r="B172" s="70"/>
      <c r="C172" s="70"/>
      <c r="D172" s="70"/>
      <c r="E172" s="70"/>
      <c r="F172" s="70"/>
      <c r="G172" s="70"/>
      <c r="H172" s="70"/>
      <c r="I172" s="76"/>
      <c r="Q172" s="16" t="s">
        <v>3</v>
      </c>
      <c r="R172" s="16">
        <f>4*(C10*1000)^0.5</f>
        <v>219.08902300206645</v>
      </c>
      <c r="S172" s="16" t="s">
        <v>5</v>
      </c>
      <c r="AB172" s="16" t="s">
        <v>86</v>
      </c>
      <c r="AE172" s="16">
        <f>+R175/T171*1000</f>
        <v>128.52567104834341</v>
      </c>
      <c r="AF172" s="16" t="s">
        <v>5</v>
      </c>
    </row>
    <row r="173" spans="1:32" ht="18.75" x14ac:dyDescent="0.35">
      <c r="A173" s="75"/>
      <c r="B173" s="40">
        <f>+C61*3</f>
        <v>12</v>
      </c>
      <c r="C173" s="39" t="s">
        <v>70</v>
      </c>
      <c r="D173" s="72" t="str">
        <f>"#"&amp;+C24</f>
        <v>#11</v>
      </c>
      <c r="E173" s="70" t="s">
        <v>71</v>
      </c>
      <c r="F173" s="70" t="s">
        <v>72</v>
      </c>
      <c r="G173" s="128">
        <f>+C22-0.5</f>
        <v>10.5</v>
      </c>
      <c r="H173" s="39" t="s">
        <v>73</v>
      </c>
      <c r="I173" s="76"/>
      <c r="Q173" s="16" t="s">
        <v>7</v>
      </c>
      <c r="R173" s="16">
        <f>+R172*T171/1000</f>
        <v>2929.2693134787814</v>
      </c>
      <c r="S173" s="16" t="s">
        <v>8</v>
      </c>
      <c r="T173" s="16" t="s">
        <v>87</v>
      </c>
    </row>
    <row r="174" spans="1:32" ht="18" x14ac:dyDescent="0.35">
      <c r="A174" s="75"/>
      <c r="B174" s="44">
        <f>+B173*2</f>
        <v>24</v>
      </c>
      <c r="C174" s="39" t="s">
        <v>70</v>
      </c>
      <c r="D174" s="70"/>
      <c r="E174" s="70" t="s">
        <v>74</v>
      </c>
      <c r="F174" s="70" t="s">
        <v>72</v>
      </c>
      <c r="G174" s="129">
        <f>+M19/12</f>
        <v>1.7281312499999999</v>
      </c>
      <c r="H174" s="39" t="s">
        <v>73</v>
      </c>
      <c r="I174" s="76"/>
      <c r="Q174" s="16" t="s">
        <v>12</v>
      </c>
      <c r="R174" s="16">
        <f>+R173*0.75</f>
        <v>2196.9519851090863</v>
      </c>
      <c r="S174" s="16" t="s">
        <v>8</v>
      </c>
    </row>
    <row r="175" spans="1:32" ht="18" x14ac:dyDescent="0.35">
      <c r="A175" s="71" t="s">
        <v>75</v>
      </c>
      <c r="B175" s="78">
        <f>+B173*G173*L22/144*490+B174*G174*L22/144*490</f>
        <v>889.81405514965206</v>
      </c>
      <c r="C175" s="39" t="s">
        <v>78</v>
      </c>
      <c r="D175" s="70"/>
      <c r="E175" s="70"/>
      <c r="F175" s="70"/>
      <c r="G175" s="70"/>
      <c r="H175" s="70"/>
      <c r="I175" s="76"/>
      <c r="Q175" s="16" t="s">
        <v>57</v>
      </c>
      <c r="R175" s="16">
        <f>C7*C14-C7*(3.1415*(T170/12)^2/4*C21/12*0.15)</f>
        <v>1718.4170116666667</v>
      </c>
      <c r="S175" s="16" t="s">
        <v>8</v>
      </c>
      <c r="T175" s="16" t="s">
        <v>344</v>
      </c>
    </row>
    <row r="176" spans="1:32" ht="18" x14ac:dyDescent="0.35">
      <c r="A176" s="75"/>
      <c r="B176" s="70"/>
      <c r="C176" s="70"/>
      <c r="D176" s="70"/>
      <c r="E176" s="70"/>
      <c r="F176" s="70"/>
      <c r="G176" s="70"/>
      <c r="H176" s="70"/>
      <c r="I176" s="76"/>
      <c r="Q176" s="16" t="s">
        <v>14</v>
      </c>
      <c r="R176" s="16">
        <f>+R175/R174</f>
        <v>0.78218232501851481</v>
      </c>
    </row>
    <row r="177" spans="1:32" x14ac:dyDescent="0.25">
      <c r="A177" s="75"/>
      <c r="B177" s="71" t="s">
        <v>77</v>
      </c>
      <c r="C177" s="79">
        <f>+B179+B175</f>
        <v>889.81405514965206</v>
      </c>
      <c r="D177" s="39" t="s">
        <v>78</v>
      </c>
      <c r="E177" s="70" t="s">
        <v>79</v>
      </c>
      <c r="F177" s="80">
        <f>+C177/2000</f>
        <v>0.44490702757482603</v>
      </c>
      <c r="G177" s="39" t="s">
        <v>19</v>
      </c>
      <c r="H177" s="70"/>
      <c r="I177" s="76"/>
    </row>
    <row r="178" spans="1:32" ht="18.75" x14ac:dyDescent="0.3">
      <c r="A178" s="75"/>
      <c r="B178" s="70"/>
      <c r="C178" s="70"/>
      <c r="D178" s="70"/>
      <c r="E178" s="70"/>
      <c r="F178" s="70"/>
      <c r="G178" s="70"/>
      <c r="H178" s="70"/>
      <c r="I178" s="76"/>
      <c r="Q178" s="50" t="s">
        <v>89</v>
      </c>
    </row>
    <row r="179" spans="1:32" x14ac:dyDescent="0.25">
      <c r="A179" s="75"/>
      <c r="B179" s="70"/>
      <c r="C179" s="70"/>
      <c r="D179" s="70"/>
      <c r="E179" s="70"/>
      <c r="F179" s="70"/>
      <c r="G179" s="70"/>
      <c r="H179" s="70"/>
      <c r="I179" s="76"/>
      <c r="Q179" s="16" t="s">
        <v>1</v>
      </c>
      <c r="T179" s="16">
        <f>+C28</f>
        <v>56</v>
      </c>
      <c r="U179" s="16" t="s">
        <v>0</v>
      </c>
      <c r="V179" s="16" t="s">
        <v>52</v>
      </c>
      <c r="W179" s="51"/>
    </row>
    <row r="180" spans="1:32" x14ac:dyDescent="0.25">
      <c r="A180" s="33" t="s">
        <v>419</v>
      </c>
      <c r="B180" s="29"/>
      <c r="C180" s="29"/>
      <c r="D180" s="29"/>
      <c r="E180" s="29"/>
      <c r="F180" s="29"/>
      <c r="G180" s="29"/>
      <c r="H180" s="29"/>
      <c r="I180" s="30"/>
      <c r="Q180" s="16" t="s">
        <v>53</v>
      </c>
      <c r="T180" s="16">
        <f>+T179/2</f>
        <v>28</v>
      </c>
      <c r="U180" s="16" t="s">
        <v>0</v>
      </c>
      <c r="W180" s="51"/>
    </row>
    <row r="181" spans="1:32" x14ac:dyDescent="0.25">
      <c r="A181" s="87"/>
      <c r="B181" s="29"/>
      <c r="C181" s="29"/>
      <c r="D181" s="29"/>
      <c r="E181" s="29"/>
      <c r="F181" s="29"/>
      <c r="G181" s="29"/>
      <c r="H181" s="29"/>
      <c r="I181" s="30"/>
      <c r="Q181" s="16" t="s">
        <v>143</v>
      </c>
      <c r="R181" s="51"/>
      <c r="T181" s="51">
        <f>+C18*12*2</f>
        <v>120</v>
      </c>
      <c r="U181" s="16" t="s">
        <v>0</v>
      </c>
      <c r="W181" s="51"/>
    </row>
    <row r="182" spans="1:32" x14ac:dyDescent="0.25">
      <c r="A182" s="87"/>
      <c r="B182" s="29"/>
      <c r="C182" s="29"/>
      <c r="D182" s="29"/>
      <c r="E182" s="29"/>
      <c r="F182" s="29"/>
      <c r="G182" s="29"/>
      <c r="H182" s="29"/>
      <c r="I182" s="30"/>
      <c r="Q182" s="16" t="s">
        <v>142</v>
      </c>
      <c r="R182" s="51"/>
      <c r="T182" s="51">
        <f>+(M29+T168)*3.1415</f>
        <v>238.75400000000002</v>
      </c>
      <c r="U182" s="16" t="s">
        <v>0</v>
      </c>
      <c r="V182" s="51"/>
      <c r="W182" s="51"/>
    </row>
    <row r="183" spans="1:32" ht="17.25" x14ac:dyDescent="0.25">
      <c r="A183" s="87"/>
      <c r="B183" s="29"/>
      <c r="C183" s="29"/>
      <c r="D183" s="29"/>
      <c r="E183" s="29"/>
      <c r="F183" s="29"/>
      <c r="G183" s="29"/>
      <c r="H183" s="29"/>
      <c r="I183" s="30"/>
      <c r="Q183" s="16" t="s">
        <v>85</v>
      </c>
      <c r="R183" s="51"/>
      <c r="S183" s="51"/>
      <c r="T183" s="51">
        <f>+(T182+T181)*T179</f>
        <v>20090.224000000002</v>
      </c>
      <c r="U183" s="16" t="s">
        <v>34</v>
      </c>
    </row>
    <row r="184" spans="1:32" ht="18.75" x14ac:dyDescent="0.35">
      <c r="A184" s="87"/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219.08902300206645</v>
      </c>
      <c r="S184" s="16" t="s">
        <v>5</v>
      </c>
      <c r="AB184" s="16" t="s">
        <v>86</v>
      </c>
      <c r="AE184" s="16">
        <f>+R187/T183*1000</f>
        <v>171.059168462565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4401.5475480526675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3301.1606610395006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3436.6170116666667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1.0410329470558128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56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28</v>
      </c>
      <c r="U192" s="16" t="s">
        <v>0</v>
      </c>
      <c r="W192" s="51"/>
    </row>
    <row r="193" spans="1:56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131.6885</v>
      </c>
      <c r="U193" s="16" t="s">
        <v>0</v>
      </c>
      <c r="V193" s="51"/>
      <c r="W193" s="51"/>
    </row>
    <row r="194" spans="1:56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7374.5560000000005</v>
      </c>
      <c r="U194" s="16" t="s">
        <v>34</v>
      </c>
    </row>
    <row r="195" spans="1:56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219.08902300206645</v>
      </c>
      <c r="S195" s="16" t="s">
        <v>5</v>
      </c>
      <c r="AB195" s="16" t="s">
        <v>86</v>
      </c>
      <c r="AE195" s="16">
        <f>+R198/T194*1000</f>
        <v>232.23693099851249</v>
      </c>
      <c r="AF195" s="16" t="s">
        <v>5</v>
      </c>
    </row>
    <row r="196" spans="1:56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1615.6842691140273</v>
      </c>
      <c r="S196" s="16" t="s">
        <v>8</v>
      </c>
      <c r="T196" s="16" t="s">
        <v>87</v>
      </c>
    </row>
    <row r="197" spans="1:56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1211.7632018355205</v>
      </c>
      <c r="S197" s="16" t="s">
        <v>8</v>
      </c>
    </row>
    <row r="198" spans="1:56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1712.6442529166666</v>
      </c>
      <c r="S198" s="16" t="s">
        <v>8</v>
      </c>
      <c r="T198" s="16" t="s">
        <v>344</v>
      </c>
    </row>
    <row r="199" spans="1:56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1.4133489532628452</v>
      </c>
      <c r="T199" s="16" t="s">
        <v>145</v>
      </c>
      <c r="V199" s="16">
        <f>+(C19*C19+C19*T170+3.1415*T170^2/4/4)/144</f>
        <v>35.875565972222226</v>
      </c>
      <c r="W199" s="16" t="s">
        <v>146</v>
      </c>
    </row>
    <row r="200" spans="1:56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6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6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56</v>
      </c>
      <c r="U202" s="16" t="s">
        <v>0</v>
      </c>
      <c r="V202" s="16" t="s">
        <v>52</v>
      </c>
      <c r="W202" s="51"/>
    </row>
    <row r="203" spans="1:56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6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147.82239999999999</v>
      </c>
      <c r="U204" s="16" t="s">
        <v>0</v>
      </c>
      <c r="V204" s="51"/>
      <c r="W204" s="51"/>
    </row>
    <row r="205" spans="1:56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8278.0543999999991</v>
      </c>
      <c r="U205" s="16" t="s">
        <v>34</v>
      </c>
    </row>
    <row r="206" spans="1:56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109.54451150103323</v>
      </c>
      <c r="S206" s="16" t="s">
        <v>5</v>
      </c>
      <c r="AB206" s="16" t="s">
        <v>86</v>
      </c>
      <c r="AE206" s="16">
        <f>+R209/T205*1000</f>
        <v>206.56118103221615</v>
      </c>
      <c r="AF206" s="16" t="s">
        <v>5</v>
      </c>
    </row>
    <row r="207" spans="1:56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906.81542542697866</v>
      </c>
      <c r="S207" s="16" t="s">
        <v>8</v>
      </c>
      <c r="T207" s="16" t="s">
        <v>93</v>
      </c>
    </row>
    <row r="208" spans="1:56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680.11156907023405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</row>
    <row r="209" spans="1:56" ht="18" x14ac:dyDescent="0.35">
      <c r="J209" s="37"/>
      <c r="K209" s="37"/>
      <c r="L209" s="37"/>
      <c r="M209" s="37"/>
      <c r="N209" s="37"/>
      <c r="O209" s="37"/>
      <c r="P209" s="37"/>
      <c r="Q209" s="37" t="s">
        <v>57</v>
      </c>
      <c r="R209" s="37">
        <f>C7*C14-C7*(T204*0.7071/12*T204*0.7071/2/12)*C21/12*0.15</f>
        <v>1709.9246935129333</v>
      </c>
      <c r="S209" s="37" t="s">
        <v>8</v>
      </c>
      <c r="T209" s="37" t="s">
        <v>344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</row>
    <row r="210" spans="1:56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 t="s">
        <v>14</v>
      </c>
      <c r="R210" s="37">
        <f>+R209/R208</f>
        <v>2.514182630138956</v>
      </c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</row>
    <row r="211" spans="1:56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</row>
    <row r="212" spans="1:56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</row>
    <row r="213" spans="1:56" x14ac:dyDescent="0.25">
      <c r="A213" s="37"/>
      <c r="B213" s="37"/>
      <c r="C213" s="37"/>
      <c r="D213" s="37"/>
      <c r="E213" s="37"/>
      <c r="F213" s="37"/>
      <c r="G213" s="37"/>
      <c r="H213" s="37"/>
      <c r="I213" s="37"/>
    </row>
    <row r="214" spans="1:56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56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56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56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56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disablePrompts="1"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37" man="1"/>
    <brk id="85" max="37" man="1"/>
    <brk id="126" max="37" man="1"/>
    <brk id="167" max="37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75" customHeight="1" x14ac:dyDescent="0.35">
      <c r="A1" s="99" t="s">
        <v>137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9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55" t="s">
        <v>101</v>
      </c>
      <c r="B6" s="126"/>
      <c r="C6" s="126"/>
      <c r="D6" s="126"/>
      <c r="E6" s="126"/>
      <c r="F6" s="126"/>
      <c r="G6" s="126"/>
      <c r="H6" s="126"/>
      <c r="I6" s="127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34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3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550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1100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5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36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24.899797500000005</v>
      </c>
    </row>
    <row r="20" spans="1:17" ht="18" x14ac:dyDescent="0.35">
      <c r="A20" s="34"/>
      <c r="B20" s="36" t="s">
        <v>396</v>
      </c>
      <c r="C20" s="122">
        <f>17+30/200*C13</f>
        <v>99.5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24.899797500000005</v>
      </c>
    </row>
    <row r="21" spans="1:17" ht="18" x14ac:dyDescent="0.35">
      <c r="A21" s="34"/>
      <c r="B21" s="36" t="s">
        <v>397</v>
      </c>
      <c r="C21" s="84">
        <v>67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1.6930000000000001</v>
      </c>
      <c r="M21" s="16" t="s">
        <v>20</v>
      </c>
      <c r="N21" s="16" t="s">
        <v>36</v>
      </c>
      <c r="P21" s="16">
        <f>+IF(C25&lt;9,(C25/8),IF(C25=9,1.128,IF(C25=10,1.27,IF(C25=11,1.41,IF(C25=14,1.693,0)))))</f>
        <v>1.6930000000000001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2*C19/12+C18</f>
        <v>11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2.2510803083750002</v>
      </c>
      <c r="M22" s="16" t="s">
        <v>34</v>
      </c>
      <c r="N22" s="16" t="s">
        <v>37</v>
      </c>
      <c r="P22" s="16">
        <f>3.1415*P21^2/4</f>
        <v>2.2510803083750002</v>
      </c>
      <c r="Q22" s="16" t="s">
        <v>34</v>
      </c>
    </row>
    <row r="23" spans="1:17" x14ac:dyDescent="0.25">
      <c r="A23" s="34"/>
      <c r="B23" s="36" t="s">
        <v>399</v>
      </c>
      <c r="C23" s="122">
        <f>2*C19/12+C18</f>
        <v>11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14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14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55.460500000000003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57.153500000000001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57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>High capacity pile selected - special details required - see CRSI Pile Cap Design Guide</v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55" t="s">
        <v>113</v>
      </c>
      <c r="B30" s="56"/>
      <c r="C30" s="56"/>
      <c r="D30" s="56"/>
      <c r="E30" s="56"/>
      <c r="F30" s="56"/>
      <c r="G30" s="56"/>
      <c r="H30" s="56"/>
      <c r="I30" s="57"/>
    </row>
    <row r="31" spans="1:17" ht="18.75" x14ac:dyDescent="0.3">
      <c r="A31" s="34" t="s">
        <v>122</v>
      </c>
      <c r="B31" s="37"/>
      <c r="C31" s="37"/>
      <c r="D31" s="37"/>
      <c r="E31" s="49" t="str">
        <f>+IF(C64&gt;C62,"NG; select smaller bar size","OK")</f>
        <v>OK</v>
      </c>
      <c r="F31" s="37"/>
      <c r="G31" s="37"/>
      <c r="H31" s="37"/>
      <c r="I31" s="38"/>
      <c r="J31" s="50" t="s">
        <v>84</v>
      </c>
    </row>
    <row r="32" spans="1:17" x14ac:dyDescent="0.25">
      <c r="A32" s="34" t="s">
        <v>123</v>
      </c>
      <c r="B32" s="37"/>
      <c r="C32" s="37"/>
      <c r="D32" s="37"/>
      <c r="E32" s="49" t="str">
        <f>+IF(C82&gt;C80,"NG; select smaller bar size","OK")</f>
        <v>OK</v>
      </c>
      <c r="F32" s="37"/>
      <c r="G32" s="37"/>
      <c r="H32" s="37"/>
      <c r="I32" s="38"/>
      <c r="J32" s="16" t="s">
        <v>1</v>
      </c>
      <c r="M32" s="16">
        <f>+C28</f>
        <v>57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28.5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77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F35" s="37"/>
      <c r="G35" s="36" t="s">
        <v>338</v>
      </c>
      <c r="H35" s="49" t="str">
        <f>+IF(R188&lt;1,"OK","NG")</f>
        <v>NG</v>
      </c>
      <c r="I35" s="38"/>
      <c r="J35" s="16" t="s">
        <v>85</v>
      </c>
      <c r="K35" s="51"/>
      <c r="L35" s="51"/>
      <c r="M35" s="51">
        <f>+M34*3.1415*M32</f>
        <v>13788.043500000002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applicable",IF(B140&lt;1,"OK","NG"))</f>
        <v>OK</v>
      </c>
      <c r="D36" s="37"/>
      <c r="F36" s="37"/>
      <c r="G36" s="36" t="s">
        <v>339</v>
      </c>
      <c r="H36" s="49" t="str">
        <f>+IF(R199&lt;1,"OK","NG")</f>
        <v>NG</v>
      </c>
      <c r="I36" s="38"/>
      <c r="J36" s="16" t="s">
        <v>3</v>
      </c>
      <c r="K36" s="16">
        <f>4*(C10*1000)^0.5</f>
        <v>219.08902300206645</v>
      </c>
      <c r="L36" s="16" t="s">
        <v>5</v>
      </c>
      <c r="U36" s="16" t="s">
        <v>86</v>
      </c>
      <c r="X36" s="16">
        <f>+K39/M35*1000</f>
        <v>124.5041610677134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NG</v>
      </c>
      <c r="D37" s="37"/>
      <c r="F37" s="37"/>
      <c r="G37" s="36" t="s">
        <v>340</v>
      </c>
      <c r="H37" s="49" t="str">
        <f>+IF(R210&lt;1,"OK","NG")</f>
        <v>NG</v>
      </c>
      <c r="I37" s="38"/>
      <c r="J37" s="16" t="s">
        <v>7</v>
      </c>
      <c r="K37" s="16">
        <f>+K36*M35/1000</f>
        <v>3020.8089795249934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NG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2265.6067346437449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1716.6687887326389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0.75770819466714567</v>
      </c>
    </row>
    <row r="41" spans="1:25" ht="18" x14ac:dyDescent="0.35">
      <c r="A41" s="34"/>
      <c r="B41" s="59" t="s">
        <v>22</v>
      </c>
      <c r="C41" s="40">
        <f>C7*4*C14-C7*C22*C23*C21/12*0.15</f>
        <v>6877.86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41.466432207268568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42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C7*C14*(2*(0.5*C18*12+C12-C43/4))-C7*(C23/2-C43/12/4)*C22*C21/12*0.15*(C23/2-C43/12/4)*12/2</f>
        <v>77308.213124999995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7028.0193749999999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55.460500000000003</v>
      </c>
      <c r="D48" s="39" t="s">
        <v>0</v>
      </c>
      <c r="E48" s="37"/>
      <c r="F48" s="37"/>
      <c r="G48" s="37"/>
      <c r="H48" s="37"/>
      <c r="I48" s="38"/>
    </row>
    <row r="49" spans="1:9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2.4605279133651976</v>
      </c>
      <c r="D49" s="39" t="s">
        <v>406</v>
      </c>
      <c r="E49" s="37"/>
      <c r="F49" s="37"/>
      <c r="G49" s="37"/>
      <c r="H49" s="37"/>
      <c r="I49" s="38"/>
    </row>
    <row r="50" spans="1:9" ht="18" x14ac:dyDescent="0.35">
      <c r="A50" s="34"/>
      <c r="B50" s="36" t="s">
        <v>38</v>
      </c>
      <c r="C50" s="61">
        <f>+C49*C22</f>
        <v>27.065807047017174</v>
      </c>
      <c r="D50" s="39" t="s">
        <v>407</v>
      </c>
      <c r="E50" s="37"/>
      <c r="F50" s="37"/>
      <c r="G50" s="37"/>
      <c r="H50" s="37"/>
      <c r="I50" s="38"/>
    </row>
    <row r="51" spans="1:9" ht="18" x14ac:dyDescent="0.35">
      <c r="A51" s="34"/>
      <c r="B51" s="36" t="s">
        <v>42</v>
      </c>
      <c r="C51" s="61">
        <f>+C50*4/3</f>
        <v>36.087742729356229</v>
      </c>
      <c r="D51" s="39" t="s">
        <v>407</v>
      </c>
      <c r="E51" s="37"/>
      <c r="F51" s="37"/>
      <c r="G51" s="37"/>
      <c r="H51" s="37"/>
      <c r="I51" s="38"/>
    </row>
    <row r="52" spans="1:9" ht="18.75" x14ac:dyDescent="0.35">
      <c r="A52" s="34"/>
      <c r="B52" s="36" t="s">
        <v>420</v>
      </c>
      <c r="C52" s="61">
        <f>3*(C10*1000)^0.5*C22*12*C48/C11/1000</f>
        <v>20.04879815434008</v>
      </c>
      <c r="D52" s="39" t="s">
        <v>407</v>
      </c>
      <c r="E52" s="37"/>
      <c r="F52" s="37"/>
      <c r="G52" s="37"/>
      <c r="H52" s="37"/>
      <c r="I52" s="38"/>
    </row>
    <row r="53" spans="1:9" ht="18" x14ac:dyDescent="0.35">
      <c r="A53" s="34"/>
      <c r="B53" s="36" t="s">
        <v>421</v>
      </c>
      <c r="C53" s="61">
        <f>200*C22*12*C48/C11/1000</f>
        <v>24.402620000000002</v>
      </c>
      <c r="D53" s="39" t="s">
        <v>407</v>
      </c>
      <c r="E53" s="37"/>
      <c r="F53" s="37"/>
      <c r="G53" s="37"/>
      <c r="H53" s="37"/>
      <c r="I53" s="38"/>
    </row>
    <row r="54" spans="1:9" ht="18" x14ac:dyDescent="0.35">
      <c r="A54" s="34"/>
      <c r="B54" s="36" t="s">
        <v>43</v>
      </c>
      <c r="C54" s="61">
        <f>+MAX(C52:C53)</f>
        <v>24.402620000000002</v>
      </c>
      <c r="D54" s="39" t="s">
        <v>407</v>
      </c>
      <c r="E54" s="37"/>
      <c r="F54" s="37"/>
      <c r="G54" s="37"/>
      <c r="H54" s="37"/>
      <c r="I54" s="38"/>
    </row>
    <row r="55" spans="1:9" ht="18" x14ac:dyDescent="0.35">
      <c r="A55" s="34"/>
      <c r="B55" s="36" t="s">
        <v>408</v>
      </c>
      <c r="C55" s="61">
        <f>+IF(C11=60,0.0018*C22*12*C21,0.002*C22*12*C21)</f>
        <v>15.919199999999998</v>
      </c>
      <c r="D55" s="39" t="s">
        <v>407</v>
      </c>
      <c r="E55" s="37"/>
      <c r="F55" s="37"/>
      <c r="G55" s="37"/>
      <c r="H55" s="37"/>
      <c r="I55" s="38"/>
    </row>
    <row r="56" spans="1:9" ht="18" x14ac:dyDescent="0.35">
      <c r="A56" s="34"/>
      <c r="B56" s="36" t="s">
        <v>40</v>
      </c>
      <c r="C56" s="63">
        <f>+IF(C50&gt;C54,C50,IF(C51&gt;C54,C54,IF(C51&gt;C55,C51,C55)))</f>
        <v>27.065807047017174</v>
      </c>
      <c r="D56" s="39" t="s">
        <v>407</v>
      </c>
      <c r="E56" s="37"/>
      <c r="F56" s="37"/>
      <c r="G56" s="37"/>
      <c r="H56" s="37"/>
      <c r="I56" s="38"/>
    </row>
    <row r="57" spans="1:9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</row>
    <row r="58" spans="1:9" x14ac:dyDescent="0.25">
      <c r="A58" s="124"/>
      <c r="B58" s="65" t="s">
        <v>44</v>
      </c>
      <c r="C58" s="43">
        <f>+C22/C23</f>
        <v>1</v>
      </c>
      <c r="D58" s="39"/>
      <c r="E58" s="37"/>
      <c r="F58" s="37"/>
      <c r="G58" s="37"/>
      <c r="H58" s="37"/>
      <c r="I58" s="38"/>
    </row>
    <row r="59" spans="1:9" ht="18" x14ac:dyDescent="0.35">
      <c r="A59" s="124"/>
      <c r="B59" s="65" t="s">
        <v>46</v>
      </c>
      <c r="C59" s="61">
        <f>2/(C58+1)</f>
        <v>1</v>
      </c>
      <c r="D59" s="39"/>
      <c r="E59" s="37" t="s">
        <v>118</v>
      </c>
      <c r="F59" s="37"/>
      <c r="G59" s="37"/>
      <c r="H59" s="37"/>
      <c r="I59" s="38"/>
    </row>
    <row r="60" spans="1:9" ht="18" x14ac:dyDescent="0.35">
      <c r="A60" s="34"/>
      <c r="B60" s="36" t="s">
        <v>45</v>
      </c>
      <c r="C60" s="61">
        <f>+C50*C58*C59</f>
        <v>27.065807047017174</v>
      </c>
      <c r="D60" s="39" t="s">
        <v>407</v>
      </c>
      <c r="E60" s="37"/>
      <c r="F60" s="37"/>
      <c r="G60" s="37"/>
      <c r="H60" s="37"/>
      <c r="I60" s="38"/>
    </row>
    <row r="61" spans="1:9" ht="18" x14ac:dyDescent="0.35">
      <c r="A61" s="34"/>
      <c r="B61" s="36" t="s">
        <v>40</v>
      </c>
      <c r="C61" s="61">
        <f>+MAX(C60,C56)</f>
        <v>27.065807047017174</v>
      </c>
      <c r="D61" s="39" t="s">
        <v>407</v>
      </c>
      <c r="E61" s="37"/>
      <c r="F61" s="37"/>
      <c r="G61" s="37"/>
      <c r="H61" s="37"/>
      <c r="I61" s="38"/>
    </row>
    <row r="62" spans="1:9" x14ac:dyDescent="0.25">
      <c r="A62" s="34"/>
      <c r="B62" s="36" t="s">
        <v>409</v>
      </c>
      <c r="C62" s="44">
        <f>+C19-C12</f>
        <v>33</v>
      </c>
      <c r="D62" s="39" t="s">
        <v>0</v>
      </c>
      <c r="E62" s="37" t="s">
        <v>51</v>
      </c>
      <c r="F62" s="37"/>
      <c r="G62" s="37"/>
      <c r="H62" s="37"/>
      <c r="I62" s="38"/>
    </row>
    <row r="63" spans="1:9" ht="18" x14ac:dyDescent="0.35">
      <c r="A63" s="34"/>
      <c r="B63" s="36" t="s">
        <v>50</v>
      </c>
      <c r="C63" s="44">
        <v>1</v>
      </c>
      <c r="D63" s="39"/>
      <c r="E63" s="37" t="s">
        <v>49</v>
      </c>
      <c r="F63" s="37"/>
      <c r="G63" s="37"/>
      <c r="H63" s="37"/>
      <c r="I63" s="38"/>
    </row>
    <row r="64" spans="1:9" ht="18" x14ac:dyDescent="0.35">
      <c r="A64" s="34"/>
      <c r="B64" s="36" t="s">
        <v>47</v>
      </c>
      <c r="C64" s="61">
        <f>0.02*C63*C11*1000/(C10*1000)^0.5*L21*0.7</f>
        <v>25.964240115974892</v>
      </c>
      <c r="D64" s="39" t="s">
        <v>0</v>
      </c>
      <c r="E64" s="37" t="str">
        <f>+IF(C64&gt;C62,"NG; insufficient length available to develop hook","OK; sufficient length available to develop hook")</f>
        <v>OK; sufficient length available to develop hook</v>
      </c>
      <c r="F64" s="37"/>
      <c r="G64" s="37"/>
      <c r="H64" s="37"/>
      <c r="I64" s="38"/>
    </row>
    <row r="65" spans="1:9" x14ac:dyDescent="0.25">
      <c r="A65" s="34"/>
      <c r="B65" s="36" t="s">
        <v>410</v>
      </c>
      <c r="C65" s="66">
        <f>+C61/L22</f>
        <v>12.023474660730926</v>
      </c>
      <c r="D65" s="39"/>
      <c r="E65" s="37"/>
      <c r="F65" s="37"/>
      <c r="G65" s="37"/>
      <c r="H65" s="37"/>
      <c r="I65" s="38"/>
    </row>
    <row r="66" spans="1:9" x14ac:dyDescent="0.25">
      <c r="A66" s="34"/>
      <c r="B66" s="36" t="s">
        <v>411</v>
      </c>
      <c r="C66" s="84">
        <v>11</v>
      </c>
      <c r="D66" s="39"/>
      <c r="E66" s="37"/>
      <c r="F66" s="37"/>
      <c r="G66" s="37"/>
      <c r="H66" s="37"/>
      <c r="I66" s="38"/>
    </row>
    <row r="67" spans="1:9" x14ac:dyDescent="0.25">
      <c r="A67" s="34"/>
      <c r="B67" s="37"/>
      <c r="C67" s="37"/>
      <c r="D67" s="37"/>
      <c r="E67" s="37"/>
      <c r="F67" s="37"/>
      <c r="G67" s="37"/>
      <c r="H67" s="37"/>
      <c r="I67" s="38"/>
    </row>
    <row r="68" spans="1:9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9" ht="18" x14ac:dyDescent="0.35">
      <c r="A69" s="34"/>
      <c r="B69" s="36" t="s">
        <v>25</v>
      </c>
      <c r="C69" s="60">
        <f>C7*C14*(2*(0.5*C18*12+C12-C43/4))-C7*(C22/2-C43/12/4)*C23*C21/12*0.15*(C22/2-C43/12/4)*12/2</f>
        <v>77308.213124999995</v>
      </c>
      <c r="D69" s="39" t="s">
        <v>26</v>
      </c>
      <c r="E69" s="37" t="s">
        <v>117</v>
      </c>
      <c r="F69" s="37"/>
      <c r="G69" s="37"/>
      <c r="H69" s="37"/>
      <c r="I69" s="38"/>
    </row>
    <row r="70" spans="1:9" ht="18" x14ac:dyDescent="0.35">
      <c r="A70" s="34"/>
      <c r="B70" s="36" t="s">
        <v>25</v>
      </c>
      <c r="C70" s="68">
        <f>+C69/C23</f>
        <v>7028.0193749999999</v>
      </c>
      <c r="D70" s="39" t="s">
        <v>27</v>
      </c>
      <c r="E70" s="37" t="s">
        <v>28</v>
      </c>
      <c r="F70" s="37"/>
      <c r="G70" s="37"/>
      <c r="H70" s="37"/>
      <c r="I70" s="38"/>
    </row>
    <row r="71" spans="1:9" x14ac:dyDescent="0.25">
      <c r="A71" s="34"/>
      <c r="B71" s="36" t="s">
        <v>1</v>
      </c>
      <c r="C71" s="44">
        <f>+C21-C15-C16-P21/2</f>
        <v>57.153500000000001</v>
      </c>
      <c r="D71" s="39" t="s">
        <v>0</v>
      </c>
      <c r="E71" s="37"/>
      <c r="F71" s="37"/>
      <c r="G71" s="37"/>
      <c r="H71" s="37"/>
      <c r="I71" s="38"/>
    </row>
    <row r="72" spans="1:9" ht="18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2.3813968731089687</v>
      </c>
      <c r="D72" s="39" t="s">
        <v>406</v>
      </c>
      <c r="E72" s="37"/>
      <c r="F72" s="37"/>
      <c r="G72" s="37"/>
      <c r="H72" s="37"/>
      <c r="I72" s="38"/>
    </row>
    <row r="73" spans="1:9" ht="18" x14ac:dyDescent="0.35">
      <c r="A73" s="34"/>
      <c r="B73" s="36" t="s">
        <v>38</v>
      </c>
      <c r="C73" s="61">
        <f>+C72*C23</f>
        <v>26.195365604198656</v>
      </c>
      <c r="D73" s="39" t="s">
        <v>407</v>
      </c>
      <c r="E73" s="37"/>
      <c r="F73" s="37"/>
      <c r="G73" s="37"/>
      <c r="H73" s="37"/>
      <c r="I73" s="38"/>
    </row>
    <row r="74" spans="1:9" ht="18" x14ac:dyDescent="0.35">
      <c r="A74" s="34"/>
      <c r="B74" s="36" t="s">
        <v>42</v>
      </c>
      <c r="C74" s="61">
        <f>+C73*4/3</f>
        <v>34.927154138931542</v>
      </c>
      <c r="D74" s="39" t="s">
        <v>407</v>
      </c>
      <c r="E74" s="37"/>
      <c r="F74" s="37"/>
      <c r="G74" s="37"/>
      <c r="H74" s="37"/>
      <c r="I74" s="38"/>
    </row>
    <row r="75" spans="1:9" ht="18.75" x14ac:dyDescent="0.35">
      <c r="A75" s="34"/>
      <c r="B75" s="36" t="s">
        <v>420</v>
      </c>
      <c r="C75" s="61">
        <f>3*(C10*1000)^0.5*C23*12*C71/C11/1000</f>
        <v>20.660812385645198</v>
      </c>
      <c r="D75" s="39" t="s">
        <v>407</v>
      </c>
      <c r="E75" s="37"/>
      <c r="F75" s="37"/>
      <c r="G75" s="37"/>
      <c r="H75" s="37"/>
      <c r="I75" s="38"/>
    </row>
    <row r="76" spans="1:9" ht="18" x14ac:dyDescent="0.35">
      <c r="A76" s="34"/>
      <c r="B76" s="36" t="s">
        <v>421</v>
      </c>
      <c r="C76" s="61">
        <f>200*C23*12*C71/C11/1000</f>
        <v>25.147539999999999</v>
      </c>
      <c r="D76" s="39" t="s">
        <v>407</v>
      </c>
      <c r="E76" s="37"/>
      <c r="F76" s="37"/>
      <c r="G76" s="37"/>
      <c r="H76" s="37"/>
      <c r="I76" s="38"/>
    </row>
    <row r="77" spans="1:9" ht="18" x14ac:dyDescent="0.35">
      <c r="A77" s="34"/>
      <c r="B77" s="36" t="s">
        <v>43</v>
      </c>
      <c r="C77" s="61">
        <f>+MAX(C75:C76)</f>
        <v>25.147539999999999</v>
      </c>
      <c r="D77" s="39" t="s">
        <v>407</v>
      </c>
      <c r="E77" s="37"/>
      <c r="F77" s="37"/>
      <c r="G77" s="37"/>
      <c r="H77" s="37"/>
      <c r="I77" s="38"/>
    </row>
    <row r="78" spans="1:9" ht="18" x14ac:dyDescent="0.35">
      <c r="A78" s="34"/>
      <c r="B78" s="36" t="s">
        <v>408</v>
      </c>
      <c r="C78" s="61">
        <f>+IF(C11=60,0.0018*C23*12*C21,0.002*C23*12*C21)</f>
        <v>15.919199999999998</v>
      </c>
      <c r="D78" s="39" t="s">
        <v>407</v>
      </c>
      <c r="E78" s="37"/>
      <c r="F78" s="37"/>
      <c r="G78" s="37"/>
      <c r="H78" s="37"/>
      <c r="I78" s="38"/>
    </row>
    <row r="79" spans="1:9" ht="18" x14ac:dyDescent="0.35">
      <c r="A79" s="34"/>
      <c r="B79" s="36" t="s">
        <v>40</v>
      </c>
      <c r="C79" s="61">
        <f>+IF(C73&gt;C77,C73,IF(C74&gt;C77,C77,IF(C74&gt;C78,C74,C78)))</f>
        <v>26.195365604198656</v>
      </c>
      <c r="D79" s="39" t="s">
        <v>407</v>
      </c>
      <c r="E79" s="37"/>
      <c r="F79" s="37"/>
      <c r="G79" s="37"/>
      <c r="H79" s="37"/>
      <c r="I79" s="38"/>
    </row>
    <row r="80" spans="1:9" x14ac:dyDescent="0.25">
      <c r="A80" s="34"/>
      <c r="B80" s="36" t="s">
        <v>409</v>
      </c>
      <c r="C80" s="68">
        <f>+C19-C12</f>
        <v>33</v>
      </c>
      <c r="D80" s="39" t="s">
        <v>0</v>
      </c>
      <c r="E80" s="37" t="s">
        <v>51</v>
      </c>
      <c r="F80" s="37"/>
      <c r="G80" s="37"/>
      <c r="H80" s="37"/>
      <c r="I80" s="38"/>
    </row>
    <row r="81" spans="1:17" ht="18" x14ac:dyDescent="0.35">
      <c r="A81" s="34"/>
      <c r="B81" s="36" t="s">
        <v>50</v>
      </c>
      <c r="C81" s="44">
        <v>1</v>
      </c>
      <c r="D81" s="39"/>
      <c r="E81" s="37" t="s">
        <v>49</v>
      </c>
      <c r="F81" s="37"/>
      <c r="G81" s="37"/>
      <c r="H81" s="37"/>
      <c r="I81" s="38"/>
    </row>
    <row r="82" spans="1:17" ht="18" x14ac:dyDescent="0.35">
      <c r="A82" s="34"/>
      <c r="B82" s="36" t="s">
        <v>47</v>
      </c>
      <c r="C82" s="61">
        <f>0.02*C63*C11*1000/(C10*1000)^0.5*P21*0.7</f>
        <v>25.964240115974892</v>
      </c>
      <c r="D82" s="39" t="s">
        <v>0</v>
      </c>
      <c r="E82" s="37" t="str">
        <f>+IF(C82&gt;C80,"NG; insufficient length available to develop hook","OK; sufficient length available to develop hook")</f>
        <v>OK; sufficient length available to develop hook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11.636797455310891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11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49.5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57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+C18/2*12+C12</f>
        <v>33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28.5</v>
      </c>
      <c r="C88" s="39" t="s">
        <v>0</v>
      </c>
      <c r="D88" s="37"/>
      <c r="E88" s="37"/>
      <c r="F88" s="37"/>
      <c r="G88" s="70"/>
      <c r="H88" s="37"/>
      <c r="I88" s="38"/>
      <c r="J88" s="16" t="s">
        <v>56</v>
      </c>
      <c r="K88" s="51"/>
      <c r="L88" s="51"/>
      <c r="M88" s="51"/>
      <c r="N88" s="51"/>
      <c r="O88" s="51">
        <f>+C18/2*12+C12</f>
        <v>33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+IF(M86&gt;O88,0,4)</f>
        <v>0</v>
      </c>
      <c r="F89" s="37"/>
      <c r="G89" s="37"/>
      <c r="H89" s="37"/>
      <c r="I89" s="38"/>
    </row>
    <row r="90" spans="1:17" ht="18.75" x14ac:dyDescent="0.35">
      <c r="A90" s="59" t="s">
        <v>3</v>
      </c>
      <c r="B90" s="60">
        <f>4*(C10*1000)^0.5</f>
        <v>219.08902300206645</v>
      </c>
      <c r="C90" s="39" t="s">
        <v>5</v>
      </c>
      <c r="D90" s="37"/>
      <c r="E90" s="37"/>
      <c r="F90" s="37"/>
      <c r="G90" s="37"/>
      <c r="H90" s="37"/>
      <c r="I90" s="38"/>
    </row>
    <row r="91" spans="1:17" ht="18" x14ac:dyDescent="0.35">
      <c r="A91" s="59" t="s">
        <v>11</v>
      </c>
      <c r="B91" s="68">
        <f>4*(B87+C43)</f>
        <v>396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219.08902300206645</v>
      </c>
      <c r="P91" s="16" t="s">
        <v>5</v>
      </c>
    </row>
    <row r="92" spans="1:17" ht="18.75" x14ac:dyDescent="0.35">
      <c r="A92" s="59" t="s">
        <v>7</v>
      </c>
      <c r="B92" s="68">
        <f>+B90*B91*B87/1000</f>
        <v>4945.2774272026436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3708.9580704019827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-70.936249999999987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-1.9125654335669481E-2</v>
      </c>
      <c r="C95" s="39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78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57</v>
      </c>
      <c r="C99" s="39" t="s">
        <v>0</v>
      </c>
      <c r="D99" s="37"/>
      <c r="E99" s="37"/>
      <c r="F99" s="37"/>
      <c r="G99" s="37"/>
      <c r="H99" s="37"/>
      <c r="I99" s="38"/>
      <c r="J99" s="16" t="s">
        <v>59</v>
      </c>
      <c r="K99" s="51"/>
      <c r="L99" s="51"/>
      <c r="M99" s="51"/>
      <c r="N99" s="51"/>
      <c r="O99" s="51">
        <f>0.5*C18*12+C12</f>
        <v>33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+IF(M98&gt;O99,0,2)</f>
        <v>0</v>
      </c>
      <c r="F100" s="37"/>
      <c r="G100" s="37"/>
      <c r="H100" s="37"/>
      <c r="I100" s="38"/>
    </row>
    <row r="101" spans="1:17" ht="18.75" x14ac:dyDescent="0.35">
      <c r="A101" s="59" t="s">
        <v>60</v>
      </c>
      <c r="B101" s="60">
        <f>2*(C10*1000)^0.5</f>
        <v>109.54451150103323</v>
      </c>
      <c r="C101" s="39" t="s">
        <v>5</v>
      </c>
      <c r="D101" s="37"/>
      <c r="E101" s="37"/>
      <c r="F101" s="37"/>
      <c r="G101" s="37"/>
      <c r="H101" s="37"/>
      <c r="I101" s="38"/>
      <c r="L101" s="16" t="s">
        <v>83</v>
      </c>
      <c r="O101" s="16">
        <f>+B101</f>
        <v>109.54451150103323</v>
      </c>
      <c r="P101" s="16" t="s">
        <v>5</v>
      </c>
    </row>
    <row r="102" spans="1:17" x14ac:dyDescent="0.25">
      <c r="A102" s="59" t="s">
        <v>61</v>
      </c>
      <c r="B102" s="68">
        <f>+C23*12*B99</f>
        <v>7524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824.21290453377401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618.15967840033045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14.739999999999997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2.3844971639276232E-2</v>
      </c>
      <c r="C106" s="39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78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57</v>
      </c>
      <c r="C110" s="39" t="s">
        <v>0</v>
      </c>
      <c r="D110" s="37"/>
      <c r="E110" s="37"/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0.5*C18*12+C12</f>
        <v>33</v>
      </c>
      <c r="P110" s="16" t="s">
        <v>0</v>
      </c>
      <c r="Q110" s="16" t="s">
        <v>119</v>
      </c>
    </row>
    <row r="111" spans="1:17" x14ac:dyDescent="0.25">
      <c r="A111" s="125"/>
      <c r="B111" s="70"/>
      <c r="C111" s="70"/>
      <c r="D111" s="59" t="s">
        <v>414</v>
      </c>
      <c r="E111" s="72">
        <f>+IF(M109&gt;O110,0,2)</f>
        <v>0</v>
      </c>
      <c r="F111" s="37"/>
      <c r="G111" s="37"/>
      <c r="H111" s="37"/>
      <c r="I111" s="38"/>
    </row>
    <row r="112" spans="1:17" ht="18.75" x14ac:dyDescent="0.35">
      <c r="A112" s="59" t="s">
        <v>60</v>
      </c>
      <c r="B112" s="60">
        <f>2*(C10*1000)^0.5</f>
        <v>109.54451150103323</v>
      </c>
      <c r="C112" s="114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109.54451150103323</v>
      </c>
      <c r="P112" s="16" t="s">
        <v>5</v>
      </c>
    </row>
    <row r="113" spans="1:9" x14ac:dyDescent="0.25">
      <c r="A113" s="59" t="s">
        <v>61</v>
      </c>
      <c r="B113" s="68">
        <f>+C22*12*B110</f>
        <v>7524</v>
      </c>
      <c r="C113" s="114" t="s">
        <v>0</v>
      </c>
      <c r="D113" s="37"/>
      <c r="E113" s="37"/>
      <c r="F113" s="37"/>
      <c r="G113" s="37"/>
      <c r="H113" s="37"/>
      <c r="I113" s="38"/>
    </row>
    <row r="114" spans="1:9" ht="18.75" x14ac:dyDescent="0.35">
      <c r="A114" s="59" t="s">
        <v>7</v>
      </c>
      <c r="B114" s="68">
        <f>+B112*B113/1000</f>
        <v>824.21290453377401</v>
      </c>
      <c r="C114" s="114" t="s">
        <v>18</v>
      </c>
      <c r="D114" s="37" t="s">
        <v>62</v>
      </c>
      <c r="E114" s="37"/>
      <c r="F114" s="37"/>
      <c r="G114" s="37"/>
      <c r="H114" s="37"/>
      <c r="I114" s="38"/>
    </row>
    <row r="115" spans="1:9" ht="18" x14ac:dyDescent="0.35">
      <c r="A115" s="59" t="s">
        <v>12</v>
      </c>
      <c r="B115" s="68">
        <f>+B114*0.75</f>
        <v>618.15967840033045</v>
      </c>
      <c r="C115" s="114" t="s">
        <v>18</v>
      </c>
      <c r="D115" s="37"/>
      <c r="E115" s="37"/>
      <c r="F115" s="37"/>
      <c r="G115" s="37"/>
      <c r="H115" s="37"/>
      <c r="I115" s="38"/>
    </row>
    <row r="116" spans="1:9" ht="18" x14ac:dyDescent="0.35">
      <c r="A116" s="59" t="s">
        <v>57</v>
      </c>
      <c r="B116" s="68">
        <f>+E111*C14*C7-C7*0.15*C22*C23*C21/12*((C23/2-M109/12)/C23)</f>
        <v>14.739999999999997</v>
      </c>
      <c r="C116" s="114" t="s">
        <v>18</v>
      </c>
      <c r="D116" s="37" t="s">
        <v>131</v>
      </c>
      <c r="E116" s="37"/>
      <c r="F116" s="37"/>
      <c r="G116" s="37"/>
      <c r="H116" s="37"/>
      <c r="I116" s="38"/>
    </row>
    <row r="117" spans="1:9" ht="18" x14ac:dyDescent="0.35">
      <c r="A117" s="59" t="s">
        <v>14</v>
      </c>
      <c r="B117" s="63">
        <f>+B116/B115</f>
        <v>2.3844971639276232E-2</v>
      </c>
      <c r="C117" s="114"/>
      <c r="D117" s="37"/>
      <c r="E117" s="37"/>
      <c r="F117" s="37"/>
      <c r="G117" s="37"/>
      <c r="H117" s="37"/>
      <c r="I117" s="38"/>
    </row>
    <row r="118" spans="1:9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9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9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9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9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9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9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9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9" x14ac:dyDescent="0.2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</row>
    <row r="127" spans="1:9" ht="18.75" x14ac:dyDescent="0.3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</row>
    <row r="128" spans="1:9" x14ac:dyDescent="0.25">
      <c r="A128" s="59" t="s">
        <v>1</v>
      </c>
      <c r="B128" s="43">
        <f>+B87</f>
        <v>57</v>
      </c>
      <c r="C128" s="39" t="s">
        <v>0</v>
      </c>
      <c r="D128" s="37"/>
      <c r="E128" s="37"/>
      <c r="F128" s="37"/>
      <c r="G128" s="37"/>
      <c r="H128" s="37"/>
      <c r="I128" s="38"/>
    </row>
    <row r="129" spans="1:16" x14ac:dyDescent="0.25">
      <c r="A129" s="59" t="s">
        <v>53</v>
      </c>
      <c r="B129" s="63">
        <f>+B128/2</f>
        <v>28.5</v>
      </c>
      <c r="C129" s="39" t="s">
        <v>0</v>
      </c>
      <c r="D129" s="37"/>
      <c r="E129" s="37"/>
      <c r="F129" s="37"/>
      <c r="G129" s="37"/>
      <c r="H129" s="37"/>
      <c r="I129" s="38"/>
    </row>
    <row r="130" spans="1:16" x14ac:dyDescent="0.25">
      <c r="A130" s="59"/>
      <c r="B130" s="37"/>
      <c r="C130" s="37"/>
      <c r="D130" s="59" t="s">
        <v>453</v>
      </c>
      <c r="E130" s="72">
        <v>4</v>
      </c>
      <c r="F130" s="37"/>
      <c r="G130" s="37"/>
      <c r="H130" s="37"/>
      <c r="I130" s="38"/>
    </row>
    <row r="131" spans="1:16" ht="18" x14ac:dyDescent="0.35">
      <c r="A131" s="59" t="s">
        <v>452</v>
      </c>
      <c r="B131" s="43">
        <f>+C18*12/2-C43/2+C12</f>
        <v>12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</row>
    <row r="132" spans="1:16" ht="18" x14ac:dyDescent="0.35">
      <c r="A132" s="154" t="s">
        <v>57</v>
      </c>
      <c r="B132" s="68">
        <f>+C14*E130*C7-C7*0.15*C22*C23*C21/12+C7*0.15*(C43)/12*(C43)/12*C21/12</f>
        <v>6894.2749999999996</v>
      </c>
      <c r="C132" s="39" t="s">
        <v>18</v>
      </c>
      <c r="D132" s="37"/>
      <c r="E132" s="37"/>
      <c r="F132" s="37"/>
      <c r="G132" s="37"/>
      <c r="H132" s="37"/>
      <c r="I132" s="38"/>
    </row>
    <row r="133" spans="1:16" ht="18.75" x14ac:dyDescent="0.35">
      <c r="A133" s="59" t="s">
        <v>3</v>
      </c>
      <c r="B133" s="68">
        <f>4*(C10*1000)^0.5</f>
        <v>219.08902300206645</v>
      </c>
      <c r="C133" s="39" t="s">
        <v>5</v>
      </c>
      <c r="D133" s="37"/>
      <c r="E133" s="37"/>
      <c r="F133" s="37"/>
      <c r="G133" s="37"/>
      <c r="H133" s="37"/>
      <c r="I133" s="38"/>
    </row>
    <row r="134" spans="1:16" ht="18.75" x14ac:dyDescent="0.35">
      <c r="A134" s="59" t="s">
        <v>4</v>
      </c>
      <c r="B134" s="68">
        <f>+B133*8</f>
        <v>1752.7121840165316</v>
      </c>
      <c r="C134" s="39" t="s">
        <v>5</v>
      </c>
      <c r="D134" s="37"/>
      <c r="E134" s="37"/>
      <c r="F134" s="37"/>
      <c r="G134" s="37"/>
      <c r="H134" s="37"/>
      <c r="I134" s="38"/>
    </row>
    <row r="135" spans="1:16" ht="18" x14ac:dyDescent="0.35">
      <c r="A135" s="59" t="s">
        <v>11</v>
      </c>
      <c r="B135" s="61">
        <f>4*(B128+C43)</f>
        <v>396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1226.5072984133542</v>
      </c>
      <c r="P135" s="16" t="s">
        <v>5</v>
      </c>
    </row>
    <row r="136" spans="1:16" ht="18" x14ac:dyDescent="0.35">
      <c r="A136" s="59" t="s">
        <v>2</v>
      </c>
      <c r="B136" s="61">
        <f>4*C43</f>
        <v>168</v>
      </c>
      <c r="C136" s="39" t="s">
        <v>0</v>
      </c>
      <c r="D136" s="37"/>
      <c r="E136" s="37"/>
      <c r="F136" s="37"/>
      <c r="G136" s="37"/>
      <c r="H136" s="37"/>
      <c r="I136" s="38"/>
    </row>
    <row r="137" spans="1:16" x14ac:dyDescent="0.25">
      <c r="A137" s="59" t="s">
        <v>6</v>
      </c>
      <c r="B137" s="61">
        <f>IF(2*B128/B131*(1+B128/C43)&lt;32,2*B128/B131*(1+B128/C43),32)</f>
        <v>22.392857142857142</v>
      </c>
      <c r="C137" s="39"/>
      <c r="D137" s="37" t="s">
        <v>9</v>
      </c>
      <c r="E137" s="37"/>
      <c r="F137" s="37"/>
      <c r="G137" s="37"/>
      <c r="H137" s="37"/>
      <c r="I137" s="38"/>
    </row>
    <row r="138" spans="1:16" ht="18.75" x14ac:dyDescent="0.35">
      <c r="A138" s="59" t="s">
        <v>7</v>
      </c>
      <c r="B138" s="68">
        <f>+B137*(C10*1000)^0.5*B136*B128/1000</f>
        <v>11745.03388960628</v>
      </c>
      <c r="C138" s="39" t="s">
        <v>18</v>
      </c>
      <c r="D138" s="37" t="s">
        <v>10</v>
      </c>
      <c r="E138" s="37"/>
      <c r="F138" s="37"/>
      <c r="G138" s="37"/>
      <c r="H138" s="37"/>
      <c r="I138" s="38"/>
    </row>
    <row r="139" spans="1:16" ht="18" x14ac:dyDescent="0.35">
      <c r="A139" s="59" t="s">
        <v>12</v>
      </c>
      <c r="B139" s="68">
        <f>+B138*0.75</f>
        <v>8808.7754172047098</v>
      </c>
      <c r="C139" s="39" t="s">
        <v>18</v>
      </c>
      <c r="D139" s="37"/>
      <c r="E139" s="37"/>
      <c r="F139" s="37"/>
      <c r="G139" s="37"/>
      <c r="H139" s="37"/>
      <c r="I139" s="38"/>
    </row>
    <row r="140" spans="1:16" ht="18" x14ac:dyDescent="0.35">
      <c r="A140" s="59" t="s">
        <v>14</v>
      </c>
      <c r="B140" s="63">
        <f>+B132/B139</f>
        <v>0.78265986740160998</v>
      </c>
      <c r="C140" s="37"/>
      <c r="D140" s="37"/>
      <c r="E140" s="37"/>
      <c r="F140" s="37"/>
      <c r="G140" s="37"/>
      <c r="H140" s="37"/>
      <c r="I140" s="38"/>
    </row>
    <row r="141" spans="1:16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16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16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16" x14ac:dyDescent="0.25">
      <c r="A144" s="59" t="s">
        <v>1</v>
      </c>
      <c r="B144" s="40">
        <f>+C21-C15-C16-P21/2</f>
        <v>57.153500000000001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+C18*12/2-C43/2+C12</f>
        <v>12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0.20996089478334659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2*C7*C14-C7*0.15*C22*C23*C21/12*((C22/2-C43/2/12)/C22)</f>
        <v>3464.7249999999999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C7*C14*(2*B145)-C7*0.15*C22*C23*C21/12*((C22/2-C43/2/12)/C22)*(C22/2-C43/2/12)*12/2</f>
        <v>40996.3125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547.72255750516615</v>
      </c>
      <c r="P148" s="16" t="s">
        <v>5</v>
      </c>
    </row>
    <row r="149" spans="1:16" ht="18" x14ac:dyDescent="0.35">
      <c r="A149" s="59" t="s">
        <v>65</v>
      </c>
      <c r="B149" s="61">
        <f>+B147*B144/B148</f>
        <v>4.8302188224245777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0.20702995801296634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10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3099.1218578467797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1.1179699150027083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55.460500000000003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+C18*12/2-C43/2+C12</f>
        <v>12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0.21637020942833185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2*C7*C14-C7*0.15*C22*C23*C21/12*((C23/2-C43/2/12)/C23)</f>
        <v>3464.7249999999999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C7*C14*(2*B158)-C7*0.15*C22*C23*C21/12*((C23/2-C43/2/12)/C23)*(C23/2-C43/2/12)*12/2</f>
        <v>40996.3125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547.72255750516615</v>
      </c>
      <c r="P161" s="16" t="s">
        <v>5</v>
      </c>
    </row>
    <row r="162" spans="1:32" ht="18" x14ac:dyDescent="0.35">
      <c r="A162" s="59" t="s">
        <v>65</v>
      </c>
      <c r="B162" s="61">
        <f>+B160*B157/B161</f>
        <v>4.6871381630360043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0.21334980220686925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10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3007.3197231510117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1.1520973221861917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57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28.5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25.021604938271608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77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13788.043500000002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219.08902300206645</v>
      </c>
      <c r="S172" s="16" t="s">
        <v>5</v>
      </c>
      <c r="AB172" s="16" t="s">
        <v>86</v>
      </c>
      <c r="AE172" s="16">
        <f>+R175/T171*1000</f>
        <v>124.5041610677134</v>
      </c>
      <c r="AF172" s="16" t="s">
        <v>5</v>
      </c>
    </row>
    <row r="173" spans="1:32" ht="18.75" x14ac:dyDescent="0.35">
      <c r="A173" s="34"/>
      <c r="B173" s="40">
        <f>+C66</f>
        <v>11</v>
      </c>
      <c r="C173" s="39" t="s">
        <v>70</v>
      </c>
      <c r="D173" s="72" t="str">
        <f>"#"&amp;+C24</f>
        <v>#14</v>
      </c>
      <c r="E173" s="37" t="s">
        <v>71</v>
      </c>
      <c r="F173" s="37" t="s">
        <v>72</v>
      </c>
      <c r="G173" s="43">
        <f>+C23-0.5</f>
        <v>10.5</v>
      </c>
      <c r="H173" s="39" t="s">
        <v>73</v>
      </c>
      <c r="I173" s="38"/>
      <c r="Q173" s="16" t="s">
        <v>7</v>
      </c>
      <c r="R173" s="16">
        <f>+R172*T171/1000</f>
        <v>3020.8089795249934</v>
      </c>
      <c r="S173" s="16" t="s">
        <v>8</v>
      </c>
      <c r="T173" s="16" t="s">
        <v>87</v>
      </c>
    </row>
    <row r="174" spans="1:32" ht="18" x14ac:dyDescent="0.35">
      <c r="A174" s="34"/>
      <c r="B174" s="44">
        <f>+B173*2</f>
        <v>22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2.0749831250000006</v>
      </c>
      <c r="H174" s="39" t="s">
        <v>73</v>
      </c>
      <c r="I174" s="38"/>
      <c r="Q174" s="16" t="s">
        <v>12</v>
      </c>
      <c r="R174" s="16">
        <f>+R173*0.75</f>
        <v>2265.6067346437449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1234.3942391022413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1716.6687887326389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0.75770819466714567</v>
      </c>
    </row>
    <row r="177" spans="1:32" x14ac:dyDescent="0.25">
      <c r="A177" s="34"/>
      <c r="B177" s="40">
        <f>+C84</f>
        <v>11</v>
      </c>
      <c r="C177" s="39" t="s">
        <v>70</v>
      </c>
      <c r="D177" s="72" t="str">
        <f>"#"&amp;+C25</f>
        <v>#14</v>
      </c>
      <c r="E177" s="37" t="s">
        <v>71</v>
      </c>
      <c r="F177" s="37" t="s">
        <v>72</v>
      </c>
      <c r="G177" s="43">
        <f>+C22-0.5</f>
        <v>10.5</v>
      </c>
      <c r="H177" s="39" t="s">
        <v>73</v>
      </c>
      <c r="I177" s="38"/>
    </row>
    <row r="178" spans="1:32" ht="18.75" x14ac:dyDescent="0.3">
      <c r="A178" s="34"/>
      <c r="B178" s="44">
        <f>+B177*2</f>
        <v>22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2.0749831250000006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1234.3942391022413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57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28.5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2468.7884782044825</v>
      </c>
      <c r="D181" s="39" t="s">
        <v>78</v>
      </c>
      <c r="E181" s="37" t="s">
        <v>79</v>
      </c>
      <c r="F181" s="80">
        <f>+C181/2000</f>
        <v>1.2343942391022413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120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241.89550000000003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20628.0435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219.08902300206645</v>
      </c>
      <c r="S184" s="16" t="s">
        <v>5</v>
      </c>
      <c r="AB184" s="16" t="s">
        <v>86</v>
      </c>
      <c r="AE184" s="16">
        <f>+R187/T183*1000</f>
        <v>166.45675204563011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4519.3778968591268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3389.5334226443451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3433.6771220659721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1.0130235327159536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57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28.5</v>
      </c>
      <c r="U192" s="16" t="s">
        <v>0</v>
      </c>
      <c r="W192" s="51"/>
    </row>
    <row r="193" spans="1:56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132.47387500000002</v>
      </c>
      <c r="U193" s="16" t="s">
        <v>0</v>
      </c>
      <c r="V193" s="51"/>
      <c r="W193" s="51"/>
    </row>
    <row r="194" spans="1:56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7551.0108750000009</v>
      </c>
      <c r="U194" s="16" t="s">
        <v>34</v>
      </c>
    </row>
    <row r="195" spans="1:56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219.08902300206645</v>
      </c>
      <c r="S195" s="16" t="s">
        <v>5</v>
      </c>
      <c r="AB195" s="16" t="s">
        <v>86</v>
      </c>
      <c r="AE195" s="16">
        <f>+R198/T194*1000</f>
        <v>226.63352304907912</v>
      </c>
      <c r="AF195" s="16" t="s">
        <v>5</v>
      </c>
    </row>
    <row r="196" spans="1:56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1654.3435952817292</v>
      </c>
      <c r="S196" s="16" t="s">
        <v>8</v>
      </c>
      <c r="T196" s="16" t="s">
        <v>87</v>
      </c>
    </row>
    <row r="197" spans="1:56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1240.757696461297</v>
      </c>
      <c r="S197" s="16" t="s">
        <v>8</v>
      </c>
    </row>
    <row r="198" spans="1:56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1711.3121971831597</v>
      </c>
      <c r="S198" s="16" t="s">
        <v>8</v>
      </c>
      <c r="T198" s="16" t="s">
        <v>344</v>
      </c>
    </row>
    <row r="199" spans="1:56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1.3792476984538622</v>
      </c>
      <c r="T199" s="16" t="s">
        <v>145</v>
      </c>
      <c r="V199" s="16">
        <f>+(C19*C19+C19*T170+3.1415*T170^2/4/4)/144</f>
        <v>36.334181206597222</v>
      </c>
      <c r="W199" s="16" t="s">
        <v>146</v>
      </c>
    </row>
    <row r="200" spans="1:56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6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6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57</v>
      </c>
      <c r="U202" s="16" t="s">
        <v>0</v>
      </c>
      <c r="V202" s="16" t="s">
        <v>52</v>
      </c>
      <c r="W202" s="51"/>
    </row>
    <row r="203" spans="1:56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6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147.82239999999999</v>
      </c>
      <c r="U204" s="16" t="s">
        <v>0</v>
      </c>
      <c r="V204" s="51"/>
      <c r="W204" s="51"/>
    </row>
    <row r="205" spans="1:56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8425.8768</v>
      </c>
      <c r="U205" s="16" t="s">
        <v>34</v>
      </c>
    </row>
    <row r="206" spans="1:56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109.54451150103323</v>
      </c>
      <c r="S206" s="16" t="s">
        <v>5</v>
      </c>
      <c r="AB206" s="16" t="s">
        <v>86</v>
      </c>
      <c r="AE206" s="16">
        <f>+R209/T205*1000</f>
        <v>202.84725463206132</v>
      </c>
      <c r="AF206" s="16" t="s">
        <v>5</v>
      </c>
    </row>
    <row r="207" spans="1:56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923.00855802388912</v>
      </c>
      <c r="S207" s="16" t="s">
        <v>8</v>
      </c>
      <c r="T207" s="16" t="s">
        <v>93</v>
      </c>
    </row>
    <row r="208" spans="1:56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692.25641851791681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</row>
    <row r="209" spans="1:56" ht="18" x14ac:dyDescent="0.3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 t="s">
        <v>57</v>
      </c>
      <c r="R209" s="37">
        <f>C7*C14-C7*(T204*0.7071/12*T204*0.7071/2/12)*C21/12*0.15</f>
        <v>1709.165976747978</v>
      </c>
      <c r="S209" s="37" t="s">
        <v>8</v>
      </c>
      <c r="T209" s="37" t="s">
        <v>344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</row>
    <row r="210" spans="1:56" ht="18" x14ac:dyDescent="0.35">
      <c r="J210" s="37"/>
      <c r="K210" s="37"/>
      <c r="L210" s="37"/>
      <c r="M210" s="37"/>
      <c r="N210" s="37"/>
      <c r="O210" s="37"/>
      <c r="P210" s="37"/>
      <c r="Q210" s="37" t="s">
        <v>14</v>
      </c>
      <c r="R210" s="37">
        <f>+R209/R208</f>
        <v>2.4689781575549836</v>
      </c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</row>
    <row r="211" spans="1:56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</row>
    <row r="212" spans="1:56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</row>
    <row r="213" spans="1:56" x14ac:dyDescent="0.25">
      <c r="A213" s="37"/>
      <c r="B213" s="37"/>
      <c r="C213" s="37"/>
      <c r="D213" s="37"/>
      <c r="E213" s="37"/>
      <c r="F213" s="37"/>
      <c r="G213" s="37"/>
      <c r="H213" s="37"/>
      <c r="I213" s="37"/>
    </row>
    <row r="214" spans="1:56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56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56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56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56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Outside of permitted range!" sqref="C10">
      <formula1>$J$1:$J$4</formula1>
    </dataValidation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37" man="1"/>
    <brk id="85" max="37" man="1"/>
    <brk id="126" max="37" man="1"/>
    <brk id="167" max="37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75" x14ac:dyDescent="0.25">
      <c r="A1" s="99" t="s">
        <v>147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x14ac:dyDescent="0.2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x14ac:dyDescent="0.25">
      <c r="A3" s="9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55" t="s">
        <v>101</v>
      </c>
      <c r="B6" s="126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34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3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120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240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12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3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21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18.678525000000004</v>
      </c>
    </row>
    <row r="20" spans="1:17" ht="18" x14ac:dyDescent="0.35">
      <c r="A20" s="34"/>
      <c r="B20" s="36" t="s">
        <v>396</v>
      </c>
      <c r="C20" s="122">
        <f>17+30/200*C13</f>
        <v>35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18.678525000000004</v>
      </c>
    </row>
    <row r="21" spans="1:17" ht="18" x14ac:dyDescent="0.35">
      <c r="A21" s="34"/>
      <c r="B21" s="36" t="s">
        <v>397</v>
      </c>
      <c r="C21" s="84">
        <v>43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1.27</v>
      </c>
      <c r="M21" s="16" t="s">
        <v>20</v>
      </c>
      <c r="N21" s="16" t="s">
        <v>36</v>
      </c>
      <c r="P21" s="16">
        <f>+IF(C25&lt;9,(C25/8),IF(C25=9,1.128,IF(C25=10,1.27,IF(C25=11,1.41,IF(C25=14,1.693,0)))))</f>
        <v>1.27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2*C19/12+2*C18*0.7071</f>
        <v>7.7425999999999995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1.2667313375</v>
      </c>
      <c r="M22" s="16" t="s">
        <v>34</v>
      </c>
      <c r="N22" s="16" t="s">
        <v>37</v>
      </c>
      <c r="P22" s="16">
        <f>3.1415*P21^2/4</f>
        <v>1.2667313375</v>
      </c>
      <c r="Q22" s="16" t="s">
        <v>34</v>
      </c>
    </row>
    <row r="23" spans="1:17" x14ac:dyDescent="0.25">
      <c r="A23" s="34"/>
      <c r="B23" s="36" t="s">
        <v>399</v>
      </c>
      <c r="C23" s="122">
        <f>2*C19/12+2*C18*0.7071</f>
        <v>7.7425999999999995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10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10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32.094999999999999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33.365000000000002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13.540749682261449</v>
      </c>
    </row>
    <row r="28" spans="1:17" ht="18" x14ac:dyDescent="0.35">
      <c r="A28" s="34"/>
      <c r="B28" s="36" t="s">
        <v>404</v>
      </c>
      <c r="C28" s="45">
        <f>+C21-C15-C16-1</f>
        <v>33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12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122</v>
      </c>
      <c r="B31" s="37"/>
      <c r="C31" s="37"/>
      <c r="D31" s="37"/>
      <c r="E31" s="49" t="str">
        <f>+IF(C64&gt;C62,"NG; select smaller bar size","OK")</f>
        <v>NG; select smaller bar size</v>
      </c>
      <c r="F31" s="37"/>
      <c r="G31" s="37"/>
      <c r="H31" s="37"/>
      <c r="I31" s="38"/>
      <c r="J31" s="50" t="s">
        <v>84</v>
      </c>
    </row>
    <row r="32" spans="1:17" x14ac:dyDescent="0.25">
      <c r="A32" s="34" t="s">
        <v>123</v>
      </c>
      <c r="B32" s="37"/>
      <c r="C32" s="37"/>
      <c r="D32" s="37"/>
      <c r="E32" s="49" t="str">
        <f>+IF(C82&gt;C80,"NG; select smaller bar size","OK")</f>
        <v>NG; select smaller bar size</v>
      </c>
      <c r="F32" s="37"/>
      <c r="G32" s="37"/>
      <c r="H32" s="37"/>
      <c r="I32" s="38"/>
      <c r="J32" s="16" t="s">
        <v>1</v>
      </c>
      <c r="M32" s="16">
        <f>+C28</f>
        <v>33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NG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16.5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45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4665.1275000000005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applicable",IF(B140&lt;1,"OK","NG"))</f>
        <v>Not applicable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219.08902300206645</v>
      </c>
      <c r="L36" s="16" t="s">
        <v>5</v>
      </c>
      <c r="U36" s="16" t="s">
        <v>86</v>
      </c>
      <c r="X36" s="16">
        <f>+K39/M35*1000</f>
        <v>80.276877983238407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NG</v>
      </c>
      <c r="I37" s="38"/>
      <c r="J37" s="16" t="s">
        <v>7</v>
      </c>
      <c r="K37" s="16">
        <f>+K36*M35/1000</f>
        <v>1022.0782261550729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766.55866961630466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374.50187109375003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0.48854952130566104</v>
      </c>
    </row>
    <row r="41" spans="1:25" ht="18" x14ac:dyDescent="0.35">
      <c r="A41" s="34"/>
      <c r="B41" s="59" t="s">
        <v>22</v>
      </c>
      <c r="C41" s="60">
        <f>C7*5*C14-C7*C22*C23*C21/12*0.15</f>
        <v>1868.4448449064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21.612755752716961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22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C7*C14*(2*(0.7071*C18*12+C12-C43/4))-C7*(C23/2-C43/12/4)*C22*C21/12*0.15*(C23/2-C43/12/4)*12/2</f>
        <v>17164.528404974168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2216.8946355196149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32.094999999999999</v>
      </c>
      <c r="D48" s="39" t="s">
        <v>0</v>
      </c>
      <c r="E48" s="37"/>
      <c r="F48" s="37"/>
      <c r="G48" s="37"/>
      <c r="H48" s="37"/>
      <c r="I48" s="38"/>
    </row>
    <row r="49" spans="1:9" ht="18.75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1.3376869492204655</v>
      </c>
      <c r="D49" s="39" t="s">
        <v>29</v>
      </c>
      <c r="E49" s="37"/>
      <c r="F49" s="37"/>
      <c r="G49" s="37"/>
      <c r="H49" s="37"/>
      <c r="I49" s="38"/>
    </row>
    <row r="50" spans="1:9" ht="18.75" x14ac:dyDescent="0.35">
      <c r="A50" s="34"/>
      <c r="B50" s="36" t="s">
        <v>38</v>
      </c>
      <c r="C50" s="61">
        <f>+C49*C22</f>
        <v>10.357174973034375</v>
      </c>
      <c r="D50" s="39" t="s">
        <v>34</v>
      </c>
      <c r="E50" s="37"/>
      <c r="F50" s="37"/>
      <c r="G50" s="37"/>
      <c r="H50" s="37"/>
      <c r="I50" s="38"/>
    </row>
    <row r="51" spans="1:9" ht="18.75" x14ac:dyDescent="0.35">
      <c r="A51" s="34"/>
      <c r="B51" s="36" t="s">
        <v>42</v>
      </c>
      <c r="C51" s="61">
        <f>+C50*4/3</f>
        <v>13.809566630712501</v>
      </c>
      <c r="D51" s="39" t="s">
        <v>34</v>
      </c>
      <c r="E51" s="37"/>
      <c r="F51" s="37"/>
      <c r="G51" s="37"/>
      <c r="H51" s="37"/>
      <c r="I51" s="38"/>
    </row>
    <row r="52" spans="1:9" ht="18.75" x14ac:dyDescent="0.35">
      <c r="A52" s="34"/>
      <c r="B52" s="36" t="s">
        <v>420</v>
      </c>
      <c r="C52" s="61">
        <f>3*(C10*1000)^0.5*C22*12*C48/C11/1000</f>
        <v>8.1665021546201508</v>
      </c>
      <c r="D52" s="39" t="s">
        <v>34</v>
      </c>
      <c r="E52" s="37"/>
      <c r="F52" s="37"/>
      <c r="G52" s="37"/>
      <c r="H52" s="37"/>
      <c r="I52" s="38"/>
    </row>
    <row r="53" spans="1:9" ht="18.75" x14ac:dyDescent="0.35">
      <c r="A53" s="34"/>
      <c r="B53" s="36" t="s">
        <v>421</v>
      </c>
      <c r="C53" s="61">
        <f>200*C22*12*C48/C11/1000</f>
        <v>9.9399498799999986</v>
      </c>
      <c r="D53" s="39" t="s">
        <v>34</v>
      </c>
      <c r="E53" s="37"/>
      <c r="F53" s="37"/>
      <c r="G53" s="37"/>
      <c r="H53" s="37"/>
      <c r="I53" s="38"/>
    </row>
    <row r="54" spans="1:9" ht="18" x14ac:dyDescent="0.35">
      <c r="A54" s="34"/>
      <c r="B54" s="36" t="s">
        <v>43</v>
      </c>
      <c r="C54" s="61">
        <f>+MAX(C52:C53)</f>
        <v>9.9399498799999986</v>
      </c>
      <c r="D54" s="39" t="s">
        <v>407</v>
      </c>
      <c r="E54" s="37"/>
      <c r="F54" s="37"/>
      <c r="G54" s="37"/>
      <c r="H54" s="37"/>
      <c r="I54" s="38"/>
    </row>
    <row r="55" spans="1:9" ht="18.75" x14ac:dyDescent="0.35">
      <c r="A55" s="34"/>
      <c r="B55" s="36" t="s">
        <v>408</v>
      </c>
      <c r="C55" s="61">
        <f>+IF(C11=60,0.0018*C22*12*C21,0.002*C22*12*C21)</f>
        <v>7.1913268799999983</v>
      </c>
      <c r="D55" s="39" t="s">
        <v>34</v>
      </c>
      <c r="E55" s="37"/>
      <c r="F55" s="37"/>
      <c r="G55" s="37"/>
      <c r="H55" s="37"/>
      <c r="I55" s="38"/>
    </row>
    <row r="56" spans="1:9" ht="18.75" x14ac:dyDescent="0.35">
      <c r="A56" s="34"/>
      <c r="B56" s="36" t="s">
        <v>40</v>
      </c>
      <c r="C56" s="63">
        <f>+IF(C50&gt;C54,C50,IF(C51&gt;C54,C54,IF(C51&gt;C55,C51,C55)))</f>
        <v>10.357174973034375</v>
      </c>
      <c r="D56" s="39" t="s">
        <v>34</v>
      </c>
      <c r="E56" s="37"/>
      <c r="F56" s="37"/>
      <c r="G56" s="37"/>
      <c r="H56" s="37"/>
      <c r="I56" s="38"/>
    </row>
    <row r="57" spans="1:9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</row>
    <row r="58" spans="1:9" x14ac:dyDescent="0.25">
      <c r="A58" s="124"/>
      <c r="B58" s="65" t="s">
        <v>44</v>
      </c>
      <c r="C58" s="43">
        <f>+C22/C23</f>
        <v>1</v>
      </c>
      <c r="D58" s="39"/>
      <c r="E58" s="37"/>
      <c r="F58" s="37"/>
      <c r="G58" s="37"/>
      <c r="H58" s="37"/>
      <c r="I58" s="38"/>
    </row>
    <row r="59" spans="1:9" ht="18" x14ac:dyDescent="0.35">
      <c r="A59" s="124"/>
      <c r="B59" s="65" t="s">
        <v>46</v>
      </c>
      <c r="C59" s="61">
        <f>2/(C58+1)</f>
        <v>1</v>
      </c>
      <c r="D59" s="39"/>
      <c r="E59" s="37" t="s">
        <v>118</v>
      </c>
      <c r="F59" s="37"/>
      <c r="G59" s="37"/>
      <c r="H59" s="37"/>
      <c r="I59" s="38"/>
    </row>
    <row r="60" spans="1:9" ht="18.75" x14ac:dyDescent="0.35">
      <c r="A60" s="34"/>
      <c r="B60" s="36" t="s">
        <v>45</v>
      </c>
      <c r="C60" s="61">
        <f>+C50*C58*C59</f>
        <v>10.357174973034375</v>
      </c>
      <c r="D60" s="39" t="s">
        <v>34</v>
      </c>
      <c r="E60" s="37"/>
      <c r="F60" s="37"/>
      <c r="G60" s="37"/>
      <c r="H60" s="37"/>
      <c r="I60" s="38"/>
    </row>
    <row r="61" spans="1:9" ht="18.75" x14ac:dyDescent="0.35">
      <c r="A61" s="34"/>
      <c r="B61" s="36" t="s">
        <v>40</v>
      </c>
      <c r="C61" s="61">
        <f>+MAX(C60,C56)</f>
        <v>10.357174973034375</v>
      </c>
      <c r="D61" s="39" t="s">
        <v>34</v>
      </c>
      <c r="E61" s="37"/>
      <c r="F61" s="37"/>
      <c r="G61" s="37"/>
      <c r="H61" s="37"/>
      <c r="I61" s="38"/>
    </row>
    <row r="62" spans="1:9" x14ac:dyDescent="0.25">
      <c r="A62" s="34"/>
      <c r="B62" s="36" t="s">
        <v>409</v>
      </c>
      <c r="C62" s="44">
        <f>+C19-C12</f>
        <v>18</v>
      </c>
      <c r="D62" s="39" t="s">
        <v>0</v>
      </c>
      <c r="E62" s="37" t="s">
        <v>51</v>
      </c>
      <c r="F62" s="37"/>
      <c r="G62" s="37"/>
      <c r="H62" s="37"/>
      <c r="I62" s="38"/>
    </row>
    <row r="63" spans="1:9" ht="18" x14ac:dyDescent="0.35">
      <c r="A63" s="34"/>
      <c r="B63" s="36" t="s">
        <v>50</v>
      </c>
      <c r="C63" s="44">
        <v>1</v>
      </c>
      <c r="D63" s="39"/>
      <c r="E63" s="37" t="s">
        <v>49</v>
      </c>
      <c r="F63" s="37"/>
      <c r="G63" s="37"/>
      <c r="H63" s="37"/>
      <c r="I63" s="38"/>
    </row>
    <row r="64" spans="1:9" ht="18" x14ac:dyDescent="0.35">
      <c r="A64" s="34"/>
      <c r="B64" s="36" t="s">
        <v>47</v>
      </c>
      <c r="C64" s="61">
        <f>0.02*C63*C11*1000/(C10*1000)^0.5*L21*0.7</f>
        <v>19.477014144883707</v>
      </c>
      <c r="D64" s="39" t="s">
        <v>0</v>
      </c>
      <c r="E64" s="37" t="str">
        <f>+IF(C64&gt;C62,"NG; insufficient length available to develop hook","OK; sufficient length available to develop hook")</f>
        <v>NG; insufficient length available to develop hook</v>
      </c>
      <c r="F64" s="37"/>
      <c r="G64" s="37"/>
      <c r="H64" s="37"/>
      <c r="I64" s="38"/>
    </row>
    <row r="65" spans="1:9" x14ac:dyDescent="0.25">
      <c r="A65" s="34"/>
      <c r="B65" s="36" t="s">
        <v>410</v>
      </c>
      <c r="C65" s="66">
        <f>+C61/L22</f>
        <v>8.1762996354658153</v>
      </c>
      <c r="D65" s="39"/>
      <c r="E65" s="37"/>
      <c r="F65" s="37"/>
      <c r="G65" s="37"/>
      <c r="H65" s="37"/>
      <c r="I65" s="38"/>
    </row>
    <row r="66" spans="1:9" x14ac:dyDescent="0.25">
      <c r="A66" s="34"/>
      <c r="B66" s="36" t="s">
        <v>411</v>
      </c>
      <c r="C66" s="84">
        <v>14</v>
      </c>
      <c r="D66" s="39"/>
      <c r="E66" s="37"/>
      <c r="F66" s="37"/>
      <c r="G66" s="37"/>
      <c r="H66" s="37"/>
      <c r="I66" s="38"/>
    </row>
    <row r="67" spans="1:9" x14ac:dyDescent="0.25">
      <c r="A67" s="34"/>
      <c r="B67" s="37"/>
      <c r="C67" s="37"/>
      <c r="D67" s="37"/>
      <c r="E67" s="37"/>
      <c r="F67" s="37"/>
      <c r="G67" s="37"/>
      <c r="H67" s="37"/>
      <c r="I67" s="38"/>
    </row>
    <row r="68" spans="1:9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9" ht="18" x14ac:dyDescent="0.35">
      <c r="A69" s="34"/>
      <c r="B69" s="36" t="s">
        <v>25</v>
      </c>
      <c r="C69" s="60">
        <f>C7*C14*(2*(0.7071*C18*12+C12-C43/4))-C7*(C22/2-C43/12/4)*C23*C21/12*0.15*(C22/2-C43/12/4)*12/2</f>
        <v>17164.528404974168</v>
      </c>
      <c r="D69" s="39" t="s">
        <v>26</v>
      </c>
      <c r="E69" s="37" t="s">
        <v>117</v>
      </c>
      <c r="F69" s="37"/>
      <c r="G69" s="37"/>
      <c r="H69" s="37"/>
      <c r="I69" s="38"/>
    </row>
    <row r="70" spans="1:9" ht="18" x14ac:dyDescent="0.35">
      <c r="A70" s="34"/>
      <c r="B70" s="36" t="s">
        <v>25</v>
      </c>
      <c r="C70" s="68">
        <f>+C69/C23</f>
        <v>2216.8946355196149</v>
      </c>
      <c r="D70" s="39" t="s">
        <v>27</v>
      </c>
      <c r="E70" s="37" t="s">
        <v>28</v>
      </c>
      <c r="F70" s="37"/>
      <c r="G70" s="37"/>
      <c r="H70" s="37"/>
      <c r="I70" s="38"/>
    </row>
    <row r="71" spans="1:9" x14ac:dyDescent="0.25">
      <c r="A71" s="34"/>
      <c r="B71" s="36" t="s">
        <v>1</v>
      </c>
      <c r="C71" s="44">
        <f>+C21-C15-C16-P21/2</f>
        <v>33.365000000000002</v>
      </c>
      <c r="D71" s="39" t="s">
        <v>0</v>
      </c>
      <c r="E71" s="37"/>
      <c r="F71" s="37"/>
      <c r="G71" s="37"/>
      <c r="H71" s="37"/>
      <c r="I71" s="38"/>
    </row>
    <row r="72" spans="1:9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1.2827864089340597</v>
      </c>
      <c r="D72" s="39" t="s">
        <v>29</v>
      </c>
      <c r="E72" s="37"/>
      <c r="F72" s="37"/>
      <c r="G72" s="37"/>
      <c r="H72" s="37"/>
      <c r="I72" s="38"/>
    </row>
    <row r="73" spans="1:9" ht="18.75" x14ac:dyDescent="0.35">
      <c r="A73" s="34"/>
      <c r="B73" s="36" t="s">
        <v>38</v>
      </c>
      <c r="C73" s="61">
        <f>+C72*C23</f>
        <v>9.9321020498128494</v>
      </c>
      <c r="D73" s="39" t="s">
        <v>34</v>
      </c>
      <c r="E73" s="37"/>
      <c r="F73" s="37"/>
      <c r="G73" s="37"/>
      <c r="H73" s="37"/>
      <c r="I73" s="38"/>
    </row>
    <row r="74" spans="1:9" ht="18.75" x14ac:dyDescent="0.35">
      <c r="A74" s="34"/>
      <c r="B74" s="36" t="s">
        <v>42</v>
      </c>
      <c r="C74" s="61">
        <f>+C73*4/3</f>
        <v>13.242802733083799</v>
      </c>
      <c r="D74" s="39" t="s">
        <v>34</v>
      </c>
      <c r="E74" s="37"/>
      <c r="F74" s="37"/>
      <c r="G74" s="37"/>
      <c r="H74" s="37"/>
      <c r="I74" s="38"/>
    </row>
    <row r="75" spans="1:9" ht="18.75" x14ac:dyDescent="0.35">
      <c r="A75" s="34"/>
      <c r="B75" s="36" t="s">
        <v>420</v>
      </c>
      <c r="C75" s="61">
        <f>3*(C10*1000)^0.5*C23*12*C71/C11/1000</f>
        <v>8.4896508611591024</v>
      </c>
      <c r="D75" s="39" t="s">
        <v>34</v>
      </c>
      <c r="E75" s="37"/>
      <c r="F75" s="37"/>
      <c r="G75" s="37"/>
      <c r="H75" s="37"/>
      <c r="I75" s="38"/>
    </row>
    <row r="76" spans="1:9" ht="18.75" x14ac:dyDescent="0.35">
      <c r="A76" s="34"/>
      <c r="B76" s="36" t="s">
        <v>421</v>
      </c>
      <c r="C76" s="61">
        <f>200*C23*12*C71/C11/1000</f>
        <v>10.333273959999998</v>
      </c>
      <c r="D76" s="39" t="s">
        <v>34</v>
      </c>
      <c r="E76" s="37"/>
      <c r="F76" s="37"/>
      <c r="G76" s="37"/>
      <c r="H76" s="37"/>
      <c r="I76" s="38"/>
    </row>
    <row r="77" spans="1:9" ht="18.75" x14ac:dyDescent="0.35">
      <c r="A77" s="34"/>
      <c r="B77" s="36" t="s">
        <v>43</v>
      </c>
      <c r="C77" s="61">
        <f>+MAX(C75:C76)</f>
        <v>10.333273959999998</v>
      </c>
      <c r="D77" s="39" t="s">
        <v>34</v>
      </c>
      <c r="E77" s="37"/>
      <c r="F77" s="37"/>
      <c r="G77" s="37"/>
      <c r="H77" s="37"/>
      <c r="I77" s="38"/>
    </row>
    <row r="78" spans="1:9" ht="18.75" x14ac:dyDescent="0.35">
      <c r="A78" s="34"/>
      <c r="B78" s="36" t="s">
        <v>408</v>
      </c>
      <c r="C78" s="61">
        <f>+IF(C11=60,0.0018*C23*12*C21,0.002*C23*12*C21)</f>
        <v>7.1913268799999983</v>
      </c>
      <c r="D78" s="39" t="s">
        <v>34</v>
      </c>
      <c r="E78" s="37"/>
      <c r="F78" s="37"/>
      <c r="G78" s="37"/>
      <c r="H78" s="37"/>
      <c r="I78" s="38"/>
    </row>
    <row r="79" spans="1:9" ht="18.75" x14ac:dyDescent="0.35">
      <c r="A79" s="34"/>
      <c r="B79" s="36" t="s">
        <v>40</v>
      </c>
      <c r="C79" s="61">
        <f>+IF(C73&gt;C77,C73,IF(C74&gt;C77,C77,IF(C74&gt;C78,C74,C78)))</f>
        <v>10.333273959999998</v>
      </c>
      <c r="D79" s="39" t="s">
        <v>34</v>
      </c>
      <c r="E79" s="37"/>
      <c r="F79" s="37"/>
      <c r="G79" s="37"/>
      <c r="H79" s="37"/>
      <c r="I79" s="38"/>
    </row>
    <row r="80" spans="1:9" x14ac:dyDescent="0.25">
      <c r="A80" s="34"/>
      <c r="B80" s="36" t="s">
        <v>409</v>
      </c>
      <c r="C80" s="68">
        <f>+C19-C12</f>
        <v>18</v>
      </c>
      <c r="D80" s="39" t="s">
        <v>0</v>
      </c>
      <c r="E80" s="37" t="s">
        <v>51</v>
      </c>
      <c r="F80" s="37"/>
      <c r="G80" s="37"/>
      <c r="H80" s="37"/>
      <c r="I80" s="38"/>
    </row>
    <row r="81" spans="1:17" ht="18" x14ac:dyDescent="0.35">
      <c r="A81" s="34"/>
      <c r="B81" s="36" t="s">
        <v>50</v>
      </c>
      <c r="C81" s="44">
        <v>1</v>
      </c>
      <c r="D81" s="39"/>
      <c r="E81" s="37" t="s">
        <v>49</v>
      </c>
      <c r="F81" s="37"/>
      <c r="G81" s="37"/>
      <c r="H81" s="37"/>
      <c r="I81" s="38"/>
    </row>
    <row r="82" spans="1:17" ht="18" x14ac:dyDescent="0.35">
      <c r="A82" s="34"/>
      <c r="B82" s="36" t="s">
        <v>47</v>
      </c>
      <c r="C82" s="61">
        <f>0.02*C63*C11*1000/(C10*1000)^0.5*P21*0.7</f>
        <v>19.477014144883707</v>
      </c>
      <c r="D82" s="39" t="s">
        <v>0</v>
      </c>
      <c r="E82" s="37" t="str">
        <f>+IF(C82&gt;C80,"NG; insufficient length available to develop hook","OK; sufficient length available to develop hook")</f>
        <v>NG; insufficient length available to develop hook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8.1574313779854659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14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27.5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33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+C18*0.7071*12+C12</f>
        <v>28.455599999999997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16.5</v>
      </c>
      <c r="C88" s="39" t="s">
        <v>0</v>
      </c>
      <c r="D88" s="37"/>
      <c r="E88" s="37"/>
      <c r="F88" s="37"/>
      <c r="G88" s="70"/>
      <c r="H88" s="37"/>
      <c r="I88" s="38"/>
      <c r="J88" s="16" t="s">
        <v>56</v>
      </c>
      <c r="K88" s="51"/>
      <c r="L88" s="51"/>
      <c r="M88" s="51"/>
      <c r="N88" s="51"/>
      <c r="O88" s="51">
        <f>+C18*0.7071*12+C12</f>
        <v>28.455599999999997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+IF(M86&gt;O88,0,4)</f>
        <v>4</v>
      </c>
      <c r="F89" s="37"/>
      <c r="G89" s="37"/>
      <c r="H89" s="37"/>
      <c r="I89" s="38"/>
    </row>
    <row r="90" spans="1:17" ht="18.75" x14ac:dyDescent="0.35">
      <c r="A90" s="59" t="s">
        <v>3</v>
      </c>
      <c r="B90" s="60">
        <f>4*(C10*1000)^0.5</f>
        <v>219.08902300206645</v>
      </c>
      <c r="C90" s="39" t="s">
        <v>5</v>
      </c>
      <c r="D90" s="37"/>
      <c r="E90" s="37"/>
      <c r="F90" s="37"/>
      <c r="G90" s="37"/>
      <c r="H90" s="37"/>
      <c r="I90" s="38"/>
    </row>
    <row r="91" spans="1:17" ht="18" x14ac:dyDescent="0.35">
      <c r="A91" s="59" t="s">
        <v>11</v>
      </c>
      <c r="B91" s="68">
        <f>4*(B87+C43)</f>
        <v>220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219.08902300206645</v>
      </c>
      <c r="P91" s="16" t="s">
        <v>5</v>
      </c>
    </row>
    <row r="92" spans="1:17" ht="18.75" x14ac:dyDescent="0.35">
      <c r="A92" s="59" t="s">
        <v>7</v>
      </c>
      <c r="B92" s="68">
        <f>+B90*B91*B87/1000</f>
        <v>1590.5863069950026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1192.9397302462519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1502.5108171286222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1.25950270498449</v>
      </c>
      <c r="C95" s="39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44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33</v>
      </c>
      <c r="C99" s="39" t="s">
        <v>0</v>
      </c>
      <c r="D99" s="37"/>
      <c r="E99" s="37"/>
      <c r="F99" s="37"/>
      <c r="G99" s="37"/>
      <c r="H99" s="37"/>
      <c r="I99" s="38"/>
      <c r="J99" s="16" t="s">
        <v>59</v>
      </c>
      <c r="K99" s="51"/>
      <c r="L99" s="51"/>
      <c r="M99" s="51"/>
      <c r="N99" s="51"/>
      <c r="O99" s="51">
        <f>0.7071*C18*12+C12</f>
        <v>28.455599999999997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+IF(M98&gt;O99,0,2)</f>
        <v>0</v>
      </c>
      <c r="F100" s="37"/>
      <c r="G100" s="37"/>
      <c r="H100" s="37"/>
      <c r="I100" s="38"/>
    </row>
    <row r="101" spans="1:17" ht="18.75" x14ac:dyDescent="0.35">
      <c r="A101" s="59" t="s">
        <v>60</v>
      </c>
      <c r="B101" s="60">
        <f>2*(C10*1000)^0.5</f>
        <v>109.54451150103323</v>
      </c>
      <c r="C101" s="39" t="s">
        <v>5</v>
      </c>
      <c r="D101" s="37"/>
      <c r="E101" s="37"/>
      <c r="F101" s="37"/>
      <c r="G101" s="37"/>
      <c r="H101" s="37"/>
      <c r="I101" s="38"/>
      <c r="L101" s="16" t="s">
        <v>83</v>
      </c>
      <c r="O101" s="16">
        <f>+B101</f>
        <v>109.54451150103323</v>
      </c>
      <c r="P101" s="16" t="s">
        <v>5</v>
      </c>
    </row>
    <row r="102" spans="1:17" x14ac:dyDescent="0.25">
      <c r="A102" s="59" t="s">
        <v>61</v>
      </c>
      <c r="B102" s="68">
        <f>+C23*12*B99</f>
        <v>3066.0695999999998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335.87109656016833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251.90332242012624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-1.3625788801333323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-5.4091342148350589E-3</v>
      </c>
      <c r="C106" s="39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44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33</v>
      </c>
      <c r="C110" s="39" t="s">
        <v>0</v>
      </c>
      <c r="D110" s="37"/>
      <c r="E110" s="37"/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0.7071*C18*12+C12</f>
        <v>28.455599999999997</v>
      </c>
      <c r="P110" s="16" t="s">
        <v>0</v>
      </c>
      <c r="Q110" s="16" t="s">
        <v>119</v>
      </c>
    </row>
    <row r="111" spans="1:17" x14ac:dyDescent="0.25">
      <c r="A111" s="34"/>
      <c r="B111" s="70"/>
      <c r="C111" s="70"/>
      <c r="D111" s="59" t="s">
        <v>414</v>
      </c>
      <c r="E111" s="72">
        <f>+IF(M109&gt;O110,0,2)</f>
        <v>0</v>
      </c>
      <c r="F111" s="37"/>
      <c r="G111" s="37"/>
      <c r="H111" s="37"/>
      <c r="I111" s="38"/>
    </row>
    <row r="112" spans="1:17" ht="18.75" x14ac:dyDescent="0.35">
      <c r="A112" s="59" t="s">
        <v>60</v>
      </c>
      <c r="B112" s="60">
        <f>2*(C10*1000)^0.5</f>
        <v>109.54451150103323</v>
      </c>
      <c r="C112" s="114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109.54451150103323</v>
      </c>
      <c r="P112" s="16" t="s">
        <v>5</v>
      </c>
    </row>
    <row r="113" spans="1:9" x14ac:dyDescent="0.25">
      <c r="A113" s="59" t="s">
        <v>61</v>
      </c>
      <c r="B113" s="68">
        <f>+C22*12*B110</f>
        <v>3066.0695999999998</v>
      </c>
      <c r="C113" s="114" t="s">
        <v>0</v>
      </c>
      <c r="D113" s="37"/>
      <c r="E113" s="37"/>
      <c r="F113" s="37"/>
      <c r="G113" s="37"/>
      <c r="H113" s="37"/>
      <c r="I113" s="38"/>
    </row>
    <row r="114" spans="1:9" ht="18.75" x14ac:dyDescent="0.35">
      <c r="A114" s="59" t="s">
        <v>7</v>
      </c>
      <c r="B114" s="68">
        <f>+B112*B113/1000</f>
        <v>335.87109656016833</v>
      </c>
      <c r="C114" s="114" t="s">
        <v>18</v>
      </c>
      <c r="D114" s="37" t="s">
        <v>62</v>
      </c>
      <c r="E114" s="37"/>
      <c r="F114" s="37"/>
      <c r="G114" s="37"/>
      <c r="H114" s="37"/>
      <c r="I114" s="38"/>
    </row>
    <row r="115" spans="1:9" ht="18" x14ac:dyDescent="0.35">
      <c r="A115" s="59" t="s">
        <v>12</v>
      </c>
      <c r="B115" s="68">
        <f>+B114*0.75</f>
        <v>251.90332242012624</v>
      </c>
      <c r="C115" s="114" t="s">
        <v>18</v>
      </c>
      <c r="D115" s="37"/>
      <c r="E115" s="37"/>
      <c r="F115" s="37"/>
      <c r="G115" s="37"/>
      <c r="H115" s="37"/>
      <c r="I115" s="38"/>
    </row>
    <row r="116" spans="1:9" ht="18" x14ac:dyDescent="0.35">
      <c r="A116" s="59" t="s">
        <v>57</v>
      </c>
      <c r="B116" s="68">
        <f>+E111*C14*C7-C7*0.15*C22*C23*C21/12*((C23/2-M109/12)/C23)</f>
        <v>-1.3625788801333323</v>
      </c>
      <c r="C116" s="114" t="s">
        <v>18</v>
      </c>
      <c r="D116" s="37" t="s">
        <v>131</v>
      </c>
      <c r="E116" s="37"/>
      <c r="F116" s="37"/>
      <c r="G116" s="37"/>
      <c r="H116" s="37"/>
      <c r="I116" s="38"/>
    </row>
    <row r="117" spans="1:9" ht="18" x14ac:dyDescent="0.35">
      <c r="A117" s="59" t="s">
        <v>14</v>
      </c>
      <c r="B117" s="63">
        <f>+B116/B115</f>
        <v>-5.4091342148350589E-3</v>
      </c>
      <c r="C117" s="114"/>
      <c r="D117" s="37"/>
      <c r="E117" s="37"/>
      <c r="F117" s="37"/>
      <c r="G117" s="37"/>
      <c r="H117" s="37"/>
      <c r="I117" s="38"/>
    </row>
    <row r="118" spans="1:9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9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9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9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9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9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9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9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9" x14ac:dyDescent="0.2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</row>
    <row r="127" spans="1:9" ht="18.75" x14ac:dyDescent="0.3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</row>
    <row r="128" spans="1:9" x14ac:dyDescent="0.25">
      <c r="A128" s="59" t="s">
        <v>1</v>
      </c>
      <c r="B128" s="43">
        <f>+B87</f>
        <v>33</v>
      </c>
      <c r="C128" s="39" t="s">
        <v>0</v>
      </c>
      <c r="F128" s="37"/>
      <c r="G128" s="37"/>
      <c r="H128" s="37"/>
      <c r="I128" s="38"/>
    </row>
    <row r="129" spans="1:16" x14ac:dyDescent="0.25">
      <c r="A129" s="59" t="s">
        <v>53</v>
      </c>
      <c r="B129" s="63">
        <f>+B128/2</f>
        <v>16.5</v>
      </c>
      <c r="C129" s="39" t="s">
        <v>0</v>
      </c>
      <c r="F129" s="37"/>
      <c r="G129" s="37"/>
      <c r="H129" s="37"/>
      <c r="I129" s="38"/>
    </row>
    <row r="130" spans="1:16" x14ac:dyDescent="0.25">
      <c r="A130" s="34"/>
      <c r="B130" s="37"/>
      <c r="C130" s="37"/>
      <c r="D130" s="59" t="s">
        <v>453</v>
      </c>
      <c r="E130" s="72">
        <v>4</v>
      </c>
      <c r="G130" s="37"/>
      <c r="H130" s="37"/>
      <c r="I130" s="38"/>
    </row>
    <row r="131" spans="1:16" ht="18" x14ac:dyDescent="0.35">
      <c r="A131" s="59" t="s">
        <v>452</v>
      </c>
      <c r="B131" s="43">
        <f>+C18*12*0.7071-C43/2+C12</f>
        <v>17.455599999999997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</row>
    <row r="132" spans="1:16" ht="18" x14ac:dyDescent="0.35">
      <c r="A132" s="154" t="s">
        <v>57</v>
      </c>
      <c r="B132" s="68">
        <f>+C14*E130*C7-C7*0.15*C22*C23*C21/12+C7*0.15*(C43)/12*(C43)/12*C21/12</f>
        <v>1487.3354004619555</v>
      </c>
      <c r="C132" s="39" t="s">
        <v>18</v>
      </c>
      <c r="D132" s="37"/>
      <c r="E132" s="37"/>
      <c r="F132" s="37"/>
      <c r="G132" s="37"/>
      <c r="H132" s="37"/>
      <c r="I132" s="38"/>
    </row>
    <row r="133" spans="1:16" ht="18.75" x14ac:dyDescent="0.35">
      <c r="A133" s="59" t="s">
        <v>3</v>
      </c>
      <c r="B133" s="68">
        <f>4*(C10*1000)^0.5</f>
        <v>219.08902300206645</v>
      </c>
      <c r="C133" s="39" t="s">
        <v>5</v>
      </c>
      <c r="D133" s="37"/>
      <c r="E133" s="37"/>
      <c r="F133" s="37"/>
      <c r="G133" s="37"/>
      <c r="H133" s="37"/>
      <c r="I133" s="38"/>
    </row>
    <row r="134" spans="1:16" ht="18.75" x14ac:dyDescent="0.35">
      <c r="A134" s="59" t="s">
        <v>4</v>
      </c>
      <c r="B134" s="68">
        <f>+B133*8</f>
        <v>1752.7121840165316</v>
      </c>
      <c r="C134" s="39" t="s">
        <v>5</v>
      </c>
      <c r="D134" s="37"/>
      <c r="E134" s="37"/>
      <c r="F134" s="37"/>
      <c r="G134" s="37"/>
      <c r="H134" s="37"/>
      <c r="I134" s="38"/>
    </row>
    <row r="135" spans="1:16" ht="18" x14ac:dyDescent="0.35">
      <c r="A135" s="59" t="s">
        <v>11</v>
      </c>
      <c r="B135" s="61">
        <f>4*(B128+C43)</f>
        <v>220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517.73770015555135</v>
      </c>
      <c r="P135" s="16" t="s">
        <v>5</v>
      </c>
    </row>
    <row r="136" spans="1:16" ht="18" x14ac:dyDescent="0.35">
      <c r="A136" s="59" t="s">
        <v>2</v>
      </c>
      <c r="B136" s="61">
        <f>4*C43</f>
        <v>88</v>
      </c>
      <c r="C136" s="39" t="s">
        <v>0</v>
      </c>
      <c r="D136" s="37"/>
      <c r="E136" s="37"/>
      <c r="F136" s="37"/>
      <c r="G136" s="37"/>
      <c r="H136" s="37"/>
      <c r="I136" s="38"/>
    </row>
    <row r="137" spans="1:16" x14ac:dyDescent="0.25">
      <c r="A137" s="59" t="s">
        <v>6</v>
      </c>
      <c r="B137" s="61">
        <f>IF(2*B128/B131*(1+B128/C43)&lt;32,2*B128/B131*(1+B128/C43),32)</f>
        <v>9.4525539082013808</v>
      </c>
      <c r="C137" s="39"/>
      <c r="D137" s="37" t="s">
        <v>9</v>
      </c>
      <c r="E137" s="37"/>
      <c r="F137" s="37"/>
      <c r="G137" s="37"/>
      <c r="H137" s="37"/>
      <c r="I137" s="38"/>
    </row>
    <row r="138" spans="1:16" ht="18.75" x14ac:dyDescent="0.35">
      <c r="A138" s="59" t="s">
        <v>7</v>
      </c>
      <c r="B138" s="68">
        <f>+B137*(C10*1000)^0.5*B136*B128/1000</f>
        <v>1503.5102812517214</v>
      </c>
      <c r="C138" s="39" t="s">
        <v>18</v>
      </c>
      <c r="D138" s="37" t="s">
        <v>10</v>
      </c>
      <c r="E138" s="37"/>
      <c r="F138" s="37"/>
      <c r="G138" s="37"/>
      <c r="H138" s="37"/>
      <c r="I138" s="38"/>
    </row>
    <row r="139" spans="1:16" ht="18" x14ac:dyDescent="0.35">
      <c r="A139" s="59" t="s">
        <v>12</v>
      </c>
      <c r="B139" s="68">
        <f>+B138*0.75</f>
        <v>1127.632710938791</v>
      </c>
      <c r="C139" s="39" t="s">
        <v>18</v>
      </c>
      <c r="D139" s="37"/>
      <c r="E139" s="37"/>
      <c r="F139" s="37"/>
      <c r="G139" s="37"/>
      <c r="H139" s="37"/>
      <c r="I139" s="38"/>
    </row>
    <row r="140" spans="1:16" ht="18" x14ac:dyDescent="0.35">
      <c r="A140" s="59" t="s">
        <v>14</v>
      </c>
      <c r="B140" s="63">
        <f>+B132/B139</f>
        <v>1.318989229412918</v>
      </c>
      <c r="C140" s="37"/>
      <c r="D140" s="37"/>
      <c r="E140" s="37"/>
      <c r="F140" s="37"/>
      <c r="G140" s="37"/>
      <c r="H140" s="37"/>
      <c r="I140" s="38"/>
    </row>
    <row r="141" spans="1:16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16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16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16" x14ac:dyDescent="0.25">
      <c r="A144" s="59" t="s">
        <v>1</v>
      </c>
      <c r="B144" s="40">
        <f>+C21-C15-C16-P21/2</f>
        <v>33.365000000000002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+C18*12*0.7071-C43/2+C12</f>
        <v>17.455599999999997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0.52317098756181613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2*C7*C14-C7*0.15*C22*C23*C21/12*((C22/2-C43/2/12)/C22)</f>
        <v>748.32617211986667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C7*C14*(2*B145)-C7*0.15*C22*C23*C21/12*((C22/2-C43/2/12)/C22)*(C22/2-C43/2/12)*12/2</f>
        <v>13057.12711410657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480.04056948702015</v>
      </c>
      <c r="P148" s="16" t="s">
        <v>5</v>
      </c>
    </row>
    <row r="149" spans="1:16" ht="18" x14ac:dyDescent="0.35">
      <c r="A149" s="59" t="s">
        <v>65</v>
      </c>
      <c r="B149" s="61">
        <f>+B147*B144/B148</f>
        <v>1.9122049218472186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0.52295650354983136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8.7643016141889021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1116.0879111953541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0.67049034812893304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32.094999999999999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+C18*12*0.7071-C43/2+C12</f>
        <v>17.455599999999997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0.54387287739523282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2*C7*C14-C7*0.15*C22*C23*C21/12*((C23/2-C43/2/12)/C23)</f>
        <v>748.32617211986667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C7*C14*(2*B158)-C7*0.15*C22*C23*C21/12*((C23/2-C43/2/12)/C23)*(C23/2-C43/2/12)*12/2</f>
        <v>13057.12711410657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449.30390409237089</v>
      </c>
      <c r="P161" s="16" t="s">
        <v>5</v>
      </c>
    </row>
    <row r="162" spans="1:32" ht="18" x14ac:dyDescent="0.35">
      <c r="A162" s="59" t="s">
        <v>65</v>
      </c>
      <c r="B162" s="61">
        <f>+B160*B157/B161</f>
        <v>1.8394190608927463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0.54364990624521337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8.2031294482176413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1004.8631147024608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0.74470458828757535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33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16.5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7.9560424527160487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45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4665.1275000000005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219.08902300206645</v>
      </c>
      <c r="S172" s="16" t="s">
        <v>5</v>
      </c>
      <c r="AB172" s="16" t="s">
        <v>86</v>
      </c>
      <c r="AE172" s="16">
        <f>+R175/T171*1000</f>
        <v>80.276877983238407</v>
      </c>
      <c r="AF172" s="16" t="s">
        <v>5</v>
      </c>
    </row>
    <row r="173" spans="1:32" ht="18.75" x14ac:dyDescent="0.35">
      <c r="A173" s="34"/>
      <c r="B173" s="40">
        <f>+C66</f>
        <v>14</v>
      </c>
      <c r="C173" s="39" t="s">
        <v>70</v>
      </c>
      <c r="D173" s="72" t="str">
        <f>"#"&amp;+C24</f>
        <v>#10</v>
      </c>
      <c r="E173" s="37" t="s">
        <v>71</v>
      </c>
      <c r="F173" s="37" t="s">
        <v>72</v>
      </c>
      <c r="G173" s="43">
        <f>+C23-0.5</f>
        <v>7.2425999999999995</v>
      </c>
      <c r="H173" s="39" t="s">
        <v>73</v>
      </c>
      <c r="I173" s="38"/>
      <c r="Q173" s="16" t="s">
        <v>7</v>
      </c>
      <c r="R173" s="16">
        <f>+R172*T171/1000</f>
        <v>1022.0782261550729</v>
      </c>
      <c r="S173" s="16" t="s">
        <v>8</v>
      </c>
      <c r="T173" s="16" t="s">
        <v>87</v>
      </c>
    </row>
    <row r="174" spans="1:32" ht="18" x14ac:dyDescent="0.35">
      <c r="A174" s="34"/>
      <c r="B174" s="44">
        <f>+B173*2</f>
        <v>28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1.5565437500000003</v>
      </c>
      <c r="H174" s="39" t="s">
        <v>73</v>
      </c>
      <c r="I174" s="38"/>
      <c r="Q174" s="16" t="s">
        <v>12</v>
      </c>
      <c r="R174" s="16">
        <f>+R173*0.75</f>
        <v>766.55866961630466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624.92093611377948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374.50187109375003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0.48854952130566104</v>
      </c>
    </row>
    <row r="177" spans="1:32" x14ac:dyDescent="0.25">
      <c r="A177" s="34"/>
      <c r="B177" s="40">
        <f>+C84</f>
        <v>14</v>
      </c>
      <c r="C177" s="39" t="s">
        <v>70</v>
      </c>
      <c r="D177" s="72" t="str">
        <f>"#"&amp;+C25</f>
        <v>#10</v>
      </c>
      <c r="E177" s="37" t="s">
        <v>71</v>
      </c>
      <c r="F177" s="37" t="s">
        <v>72</v>
      </c>
      <c r="G177" s="43">
        <f>+C22-0.5</f>
        <v>7.2425999999999995</v>
      </c>
      <c r="H177" s="39" t="s">
        <v>73</v>
      </c>
      <c r="I177" s="38"/>
    </row>
    <row r="178" spans="1:32" ht="18.75" x14ac:dyDescent="0.3">
      <c r="A178" s="34"/>
      <c r="B178" s="44">
        <f>+B177*2</f>
        <v>28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1.5565437500000003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624.92093611377948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33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16.5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1249.841872227559</v>
      </c>
      <c r="D181" s="39" t="s">
        <v>78</v>
      </c>
      <c r="E181" s="37" t="s">
        <v>79</v>
      </c>
      <c r="F181" s="80">
        <f>+C181/2000</f>
        <v>0.62492093611377952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72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141.36750000000001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7041.1275000000005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219.08902300206645</v>
      </c>
      <c r="S184" s="16" t="s">
        <v>5</v>
      </c>
      <c r="AB184" s="16" t="s">
        <v>86</v>
      </c>
      <c r="AE184" s="16">
        <f>+R187/T183*1000</f>
        <v>106.35042059581366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1542.6337448079828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1156.975308605987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748.82687109375001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0.64722804844987947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33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16.5</v>
      </c>
      <c r="U192" s="16" t="s">
        <v>0</v>
      </c>
      <c r="W192" s="5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77.341875000000002</v>
      </c>
      <c r="U193" s="16" t="s">
        <v>0</v>
      </c>
      <c r="V193" s="51"/>
      <c r="W193" s="5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2552.2818750000001</v>
      </c>
      <c r="U194" s="16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219.08902300206645</v>
      </c>
      <c r="S195" s="16" t="s">
        <v>5</v>
      </c>
      <c r="AB195" s="16" t="s">
        <v>86</v>
      </c>
      <c r="AE195" s="16">
        <f>+R198/T194*1000</f>
        <v>146.28006860466283</v>
      </c>
      <c r="AF195" s="16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559.17694241963238</v>
      </c>
      <c r="S196" s="16" t="s">
        <v>8</v>
      </c>
      <c r="T196" s="16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419.38270681472432</v>
      </c>
      <c r="S197" s="16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373.34796777343752</v>
      </c>
      <c r="S198" s="16" t="s">
        <v>8</v>
      </c>
      <c r="T198" s="16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0.8902321476464119</v>
      </c>
      <c r="T199" s="16" t="s">
        <v>145</v>
      </c>
      <c r="V199" s="16">
        <f>+(C19*C19+C19*T170+3.1415*T170^2/4/4)/144</f>
        <v>12.386083984374999</v>
      </c>
      <c r="W199" s="16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33</v>
      </c>
      <c r="U202" s="16" t="s">
        <v>0</v>
      </c>
      <c r="V202" s="16" t="s">
        <v>52</v>
      </c>
      <c r="W202" s="5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97.3964</v>
      </c>
      <c r="U204" s="16" t="s">
        <v>0</v>
      </c>
      <c r="V204" s="51"/>
      <c r="W204" s="5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3214.0812000000001</v>
      </c>
      <c r="U205" s="16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109.54451150103323</v>
      </c>
      <c r="S206" s="16" t="s">
        <v>5</v>
      </c>
      <c r="AB206" s="16" t="s">
        <v>86</v>
      </c>
      <c r="AE206" s="16">
        <f>+R209/T205*1000</f>
        <v>115.06773971947167</v>
      </c>
      <c r="AF206" s="16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352.08495497865471</v>
      </c>
      <c r="S207" s="16" t="s">
        <v>8</v>
      </c>
      <c r="T207" s="16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264.06371623399104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</row>
    <row r="209" spans="1:58" ht="18" x14ac:dyDescent="0.3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369.83705895884719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</row>
    <row r="210" spans="1:58" ht="18" x14ac:dyDescent="0.35"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1.4005599263441733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</row>
    <row r="211" spans="1:58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</row>
    <row r="212" spans="1:58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</row>
    <row r="213" spans="1:58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</row>
    <row r="214" spans="1:58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</row>
    <row r="215" spans="1:58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</row>
    <row r="216" spans="1:58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</row>
    <row r="217" spans="1:58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</row>
    <row r="218" spans="1:58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</row>
    <row r="219" spans="1:58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</row>
    <row r="220" spans="1:58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</row>
    <row r="221" spans="1:58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37" man="1"/>
    <brk id="85" max="37" man="1"/>
    <brk id="126" max="37" man="1"/>
    <brk id="167" max="37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75" customHeight="1" x14ac:dyDescent="0.35">
      <c r="A1" s="99" t="s">
        <v>200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9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55" t="s">
        <v>101</v>
      </c>
      <c r="B6" s="126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34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3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550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1100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5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36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24.899797500000005</v>
      </c>
    </row>
    <row r="20" spans="1:17" ht="18" x14ac:dyDescent="0.35">
      <c r="A20" s="34"/>
      <c r="B20" s="36" t="s">
        <v>396</v>
      </c>
      <c r="C20" s="122">
        <f>17+30/200*C13</f>
        <v>99.5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24.899797500000005</v>
      </c>
    </row>
    <row r="21" spans="1:17" ht="18" x14ac:dyDescent="0.35">
      <c r="A21" s="34"/>
      <c r="B21" s="36" t="s">
        <v>397</v>
      </c>
      <c r="C21" s="84">
        <v>85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1.6930000000000001</v>
      </c>
      <c r="M21" s="16" t="s">
        <v>20</v>
      </c>
      <c r="N21" s="16" t="s">
        <v>36</v>
      </c>
      <c r="P21" s="16">
        <f>+IF(C25&lt;9,(C25/8),IF(C25=9,1.128,IF(C25=10,1.27,IF(C25=11,1.41,IF(C25=14,1.693,0)))))</f>
        <v>1.6930000000000001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2*C19/12+2*C18</f>
        <v>16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2.2510803083750002</v>
      </c>
      <c r="M22" s="16" t="s">
        <v>34</v>
      </c>
      <c r="N22" s="16" t="s">
        <v>37</v>
      </c>
      <c r="P22" s="16">
        <f>3.1415*P21^2/4</f>
        <v>2.2510803083750002</v>
      </c>
      <c r="Q22" s="16" t="s">
        <v>34</v>
      </c>
    </row>
    <row r="23" spans="1:17" x14ac:dyDescent="0.25">
      <c r="A23" s="34"/>
      <c r="B23" s="36" t="s">
        <v>399</v>
      </c>
      <c r="C23" s="122">
        <f>2*C19/12+C18</f>
        <v>11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14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14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73.460499999999996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75.153499999999994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75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>High capacity pile selected - special details required - see CRSI Pile Cap Design Guide</v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122</v>
      </c>
      <c r="B31" s="37"/>
      <c r="C31" s="37"/>
      <c r="D31" s="37"/>
      <c r="E31" s="49" t="str">
        <f>+IF(C64&gt;C62,"NG; select smaller bar size","OK")</f>
        <v>OK</v>
      </c>
      <c r="F31" s="37"/>
      <c r="G31" s="37"/>
      <c r="H31" s="37"/>
      <c r="I31" s="38"/>
      <c r="J31" s="50" t="s">
        <v>84</v>
      </c>
    </row>
    <row r="32" spans="1:17" x14ac:dyDescent="0.25">
      <c r="A32" s="34" t="s">
        <v>123</v>
      </c>
      <c r="B32" s="37"/>
      <c r="C32" s="37"/>
      <c r="D32" s="37"/>
      <c r="E32" s="49" t="str">
        <f>+IF(C82&gt;C80,"NG; select smaller bar size","OK")</f>
        <v>OK</v>
      </c>
      <c r="F32" s="37"/>
      <c r="G32" s="37"/>
      <c r="H32" s="37"/>
      <c r="I32" s="38"/>
      <c r="J32" s="16" t="s">
        <v>1</v>
      </c>
      <c r="M32" s="16">
        <f>+C28</f>
        <v>75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NG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37.5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95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22383.1875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applicable",IF(G140&lt;1,"OK","NG"))</f>
        <v>NG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219.08902300206645</v>
      </c>
      <c r="L36" s="16" t="s">
        <v>5</v>
      </c>
      <c r="U36" s="16" t="s">
        <v>86</v>
      </c>
      <c r="X36" s="16">
        <f>+K39/M35*1000</f>
        <v>74.892019358062328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NG</v>
      </c>
      <c r="I37" s="38"/>
      <c r="J37" s="16" t="s">
        <v>7</v>
      </c>
      <c r="K37" s="16">
        <f>+K36*M35/1000</f>
        <v>4903.9106810470657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3677.9330107852993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1676.3221115451388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0.45577831532804791</v>
      </c>
    </row>
    <row r="41" spans="1:25" ht="18" x14ac:dyDescent="0.35">
      <c r="A41" s="34"/>
      <c r="B41" s="59" t="s">
        <v>22</v>
      </c>
      <c r="C41" s="60">
        <f>C7*6*C14-C7*C22*C23*C21/12*0.15</f>
        <v>10260.800000000001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50.647803506173894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51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C7*C14*(3*(C18*12/2+C12-C43/4))-C7*(C23/2-C43/12/4)*C22*C21/12*0.15*(C23/2-C43/12/4)*12/2</f>
        <v>103706.3625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6481.6476562500002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73.460499999999996</v>
      </c>
      <c r="D48" s="39" t="s">
        <v>0</v>
      </c>
      <c r="E48" s="37"/>
      <c r="F48" s="37"/>
      <c r="G48" s="37"/>
      <c r="H48" s="37"/>
      <c r="I48" s="38"/>
    </row>
    <row r="49" spans="1:9" ht="18.75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1.6797662763168546</v>
      </c>
      <c r="D49" s="39" t="s">
        <v>29</v>
      </c>
      <c r="E49" s="37"/>
      <c r="F49" s="37"/>
      <c r="G49" s="37"/>
      <c r="H49" s="37"/>
      <c r="I49" s="38"/>
    </row>
    <row r="50" spans="1:9" ht="18.75" x14ac:dyDescent="0.35">
      <c r="A50" s="34"/>
      <c r="B50" s="36" t="s">
        <v>38</v>
      </c>
      <c r="C50" s="61">
        <f>+C49*C22</f>
        <v>26.876260421069674</v>
      </c>
      <c r="D50" s="39" t="s">
        <v>34</v>
      </c>
      <c r="E50" s="37"/>
      <c r="F50" s="37"/>
      <c r="G50" s="37"/>
      <c r="H50" s="37"/>
      <c r="I50" s="38"/>
    </row>
    <row r="51" spans="1:9" ht="18.75" x14ac:dyDescent="0.35">
      <c r="A51" s="34"/>
      <c r="B51" s="36" t="s">
        <v>42</v>
      </c>
      <c r="C51" s="61">
        <f>+C50*4/3</f>
        <v>35.835013894759562</v>
      </c>
      <c r="D51" s="39" t="s">
        <v>34</v>
      </c>
      <c r="E51" s="37"/>
      <c r="F51" s="37"/>
      <c r="G51" s="37"/>
      <c r="H51" s="37"/>
      <c r="I51" s="38"/>
    </row>
    <row r="52" spans="1:9" ht="18.75" x14ac:dyDescent="0.35">
      <c r="A52" s="34"/>
      <c r="B52" s="36" t="s">
        <v>420</v>
      </c>
      <c r="C52" s="61">
        <f>3*(C10*1000)^0.5*C22*12*C48/C11/1000</f>
        <v>38.626534018183925</v>
      </c>
      <c r="D52" s="39" t="s">
        <v>34</v>
      </c>
      <c r="E52" s="37"/>
      <c r="F52" s="37"/>
      <c r="G52" s="37"/>
      <c r="H52" s="37"/>
      <c r="I52" s="38"/>
    </row>
    <row r="53" spans="1:9" ht="18.75" x14ac:dyDescent="0.35">
      <c r="A53" s="34"/>
      <c r="B53" s="36" t="s">
        <v>421</v>
      </c>
      <c r="C53" s="61">
        <f>200*C22*12*C48/C11/1000</f>
        <v>47.014719999999997</v>
      </c>
      <c r="D53" s="39" t="s">
        <v>34</v>
      </c>
      <c r="E53" s="37"/>
      <c r="F53" s="37"/>
      <c r="G53" s="37"/>
      <c r="H53" s="37"/>
      <c r="I53" s="38"/>
    </row>
    <row r="54" spans="1:9" ht="18" x14ac:dyDescent="0.35">
      <c r="A54" s="34"/>
      <c r="B54" s="36" t="s">
        <v>43</v>
      </c>
      <c r="C54" s="61">
        <f>+MAX(C52:C53)</f>
        <v>47.014719999999997</v>
      </c>
      <c r="D54" s="39" t="s">
        <v>407</v>
      </c>
      <c r="E54" s="37"/>
      <c r="F54" s="37"/>
      <c r="G54" s="37"/>
      <c r="H54" s="37"/>
      <c r="I54" s="38"/>
    </row>
    <row r="55" spans="1:9" ht="18.75" x14ac:dyDescent="0.35">
      <c r="A55" s="34"/>
      <c r="B55" s="36" t="s">
        <v>408</v>
      </c>
      <c r="C55" s="61">
        <f>+IF(C11=60,0.0018*C22*12*C21,0.002*C22*12*C21)</f>
        <v>29.376000000000001</v>
      </c>
      <c r="D55" s="39" t="s">
        <v>34</v>
      </c>
      <c r="E55" s="37"/>
      <c r="F55" s="37"/>
      <c r="G55" s="37"/>
      <c r="H55" s="37"/>
      <c r="I55" s="38"/>
    </row>
    <row r="56" spans="1:9" ht="18.75" x14ac:dyDescent="0.35">
      <c r="A56" s="34"/>
      <c r="B56" s="36" t="s">
        <v>40</v>
      </c>
      <c r="C56" s="63">
        <f>+IF(C50&gt;C54,C50,IF(C51&gt;C54,C54,IF(C51&gt;C55,C51,C55)))</f>
        <v>35.835013894759562</v>
      </c>
      <c r="D56" s="39" t="s">
        <v>34</v>
      </c>
      <c r="E56" s="37"/>
      <c r="F56" s="37"/>
      <c r="G56" s="37"/>
      <c r="H56" s="37"/>
      <c r="I56" s="38"/>
    </row>
    <row r="57" spans="1:9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</row>
    <row r="58" spans="1:9" x14ac:dyDescent="0.25">
      <c r="A58" s="124"/>
      <c r="B58" s="65" t="s">
        <v>44</v>
      </c>
      <c r="C58" s="43">
        <f>+C22/C23</f>
        <v>1.4545454545454546</v>
      </c>
      <c r="D58" s="39"/>
      <c r="E58" s="37"/>
      <c r="F58" s="37"/>
      <c r="G58" s="37"/>
      <c r="H58" s="37"/>
      <c r="I58" s="38"/>
    </row>
    <row r="59" spans="1:9" ht="18" x14ac:dyDescent="0.35">
      <c r="A59" s="124"/>
      <c r="B59" s="65" t="s">
        <v>46</v>
      </c>
      <c r="C59" s="61">
        <f>2/(C58+1)</f>
        <v>0.81481481481481477</v>
      </c>
      <c r="D59" s="39"/>
      <c r="E59" s="37" t="s">
        <v>118</v>
      </c>
      <c r="F59" s="37"/>
      <c r="G59" s="37"/>
      <c r="H59" s="37"/>
      <c r="I59" s="38"/>
    </row>
    <row r="60" spans="1:9" ht="18.75" x14ac:dyDescent="0.35">
      <c r="A60" s="34"/>
      <c r="B60" s="36" t="s">
        <v>45</v>
      </c>
      <c r="C60" s="61">
        <f>+C50*C58*C59</f>
        <v>31.853345684230725</v>
      </c>
      <c r="D60" s="39" t="s">
        <v>34</v>
      </c>
      <c r="E60" s="37"/>
      <c r="F60" s="37"/>
      <c r="G60" s="37"/>
      <c r="H60" s="37"/>
      <c r="I60" s="38"/>
    </row>
    <row r="61" spans="1:9" ht="18.75" x14ac:dyDescent="0.35">
      <c r="A61" s="34"/>
      <c r="B61" s="36" t="s">
        <v>40</v>
      </c>
      <c r="C61" s="61">
        <f>+MAX(C60,C56)</f>
        <v>35.835013894759562</v>
      </c>
      <c r="D61" s="39" t="s">
        <v>34</v>
      </c>
      <c r="E61" s="37"/>
      <c r="F61" s="37"/>
      <c r="G61" s="37"/>
      <c r="H61" s="37"/>
      <c r="I61" s="38"/>
    </row>
    <row r="62" spans="1:9" x14ac:dyDescent="0.25">
      <c r="A62" s="34"/>
      <c r="B62" s="36" t="s">
        <v>409</v>
      </c>
      <c r="C62" s="44">
        <f>+C19-C12</f>
        <v>33</v>
      </c>
      <c r="D62" s="39" t="s">
        <v>0</v>
      </c>
      <c r="E62" s="37" t="s">
        <v>51</v>
      </c>
      <c r="F62" s="37"/>
      <c r="G62" s="37"/>
      <c r="H62" s="37"/>
      <c r="I62" s="38"/>
    </row>
    <row r="63" spans="1:9" ht="18" x14ac:dyDescent="0.35">
      <c r="A63" s="34"/>
      <c r="B63" s="36" t="s">
        <v>50</v>
      </c>
      <c r="C63" s="44">
        <v>1</v>
      </c>
      <c r="D63" s="39"/>
      <c r="E63" s="37" t="s">
        <v>49</v>
      </c>
      <c r="F63" s="37"/>
      <c r="G63" s="37"/>
      <c r="H63" s="37"/>
      <c r="I63" s="38"/>
    </row>
    <row r="64" spans="1:9" ht="18" x14ac:dyDescent="0.35">
      <c r="A64" s="34"/>
      <c r="B64" s="36" t="s">
        <v>47</v>
      </c>
      <c r="C64" s="61">
        <f>0.02*C63*C11*1000/(C10*1000)^0.5*L21*0.7</f>
        <v>25.964240115974892</v>
      </c>
      <c r="D64" s="39" t="s">
        <v>0</v>
      </c>
      <c r="E64" s="37" t="str">
        <f>+IF(C64&gt;C62,"NG; insufficient length available to develop hook","OK; sufficient length available to develop hook")</f>
        <v>OK; sufficient length available to develop hook</v>
      </c>
      <c r="F64" s="37"/>
      <c r="G64" s="37"/>
      <c r="H64" s="37"/>
      <c r="I64" s="38"/>
    </row>
    <row r="65" spans="1:9" x14ac:dyDescent="0.25">
      <c r="A65" s="34"/>
      <c r="B65" s="36" t="s">
        <v>410</v>
      </c>
      <c r="C65" s="66">
        <f>+C61/L22</f>
        <v>15.919029526151371</v>
      </c>
      <c r="D65" s="39"/>
      <c r="E65" s="37"/>
      <c r="F65" s="37"/>
      <c r="G65" s="37"/>
      <c r="H65" s="37"/>
      <c r="I65" s="38"/>
    </row>
    <row r="66" spans="1:9" x14ac:dyDescent="0.25">
      <c r="A66" s="34"/>
      <c r="B66" s="36" t="s">
        <v>411</v>
      </c>
      <c r="C66" s="84">
        <v>13</v>
      </c>
      <c r="D66" s="39"/>
      <c r="E66" s="37"/>
      <c r="F66" s="37"/>
      <c r="G66" s="37"/>
      <c r="H66" s="37"/>
      <c r="I66" s="38"/>
    </row>
    <row r="67" spans="1:9" x14ac:dyDescent="0.25">
      <c r="A67" s="34"/>
      <c r="B67" s="37"/>
      <c r="C67" s="37"/>
      <c r="D67" s="37"/>
      <c r="E67" s="37"/>
      <c r="F67" s="37"/>
      <c r="G67" s="37"/>
      <c r="H67" s="37"/>
      <c r="I67" s="38"/>
    </row>
    <row r="68" spans="1:9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9" ht="18" x14ac:dyDescent="0.35">
      <c r="A69" s="34"/>
      <c r="B69" s="36" t="s">
        <v>25</v>
      </c>
      <c r="C69" s="60">
        <f>C7*C14*(2*(C18*12+C12-C43/4))-C7*(C22/2-C43/12/4)*C23*C21/12*0.15*(C22/2-C43/12/4)*12/2</f>
        <v>171479.93671874999</v>
      </c>
      <c r="D69" s="39" t="s">
        <v>26</v>
      </c>
      <c r="E69" s="37" t="s">
        <v>117</v>
      </c>
      <c r="F69" s="37"/>
      <c r="G69" s="37"/>
      <c r="H69" s="37"/>
      <c r="I69" s="38"/>
    </row>
    <row r="70" spans="1:9" ht="18" x14ac:dyDescent="0.35">
      <c r="A70" s="34"/>
      <c r="B70" s="36" t="s">
        <v>25</v>
      </c>
      <c r="C70" s="68">
        <f>+C69/C23</f>
        <v>15589.085156249999</v>
      </c>
      <c r="D70" s="39" t="s">
        <v>27</v>
      </c>
      <c r="E70" s="37" t="s">
        <v>28</v>
      </c>
      <c r="F70" s="37"/>
      <c r="G70" s="37"/>
      <c r="H70" s="37"/>
      <c r="I70" s="38"/>
    </row>
    <row r="71" spans="1:9" x14ac:dyDescent="0.25">
      <c r="A71" s="34"/>
      <c r="B71" s="36" t="s">
        <v>1</v>
      </c>
      <c r="C71" s="44">
        <f>+C21-C15-C16-P21/2</f>
        <v>75.153499999999994</v>
      </c>
      <c r="D71" s="39" t="s">
        <v>0</v>
      </c>
      <c r="E71" s="37"/>
      <c r="F71" s="37"/>
      <c r="G71" s="37"/>
      <c r="H71" s="37"/>
      <c r="I71" s="38"/>
    </row>
    <row r="72" spans="1:9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4.0666604510695308</v>
      </c>
      <c r="D72" s="39" t="s">
        <v>29</v>
      </c>
      <c r="E72" s="37"/>
      <c r="F72" s="37"/>
      <c r="G72" s="37"/>
      <c r="H72" s="37"/>
      <c r="I72" s="38"/>
    </row>
    <row r="73" spans="1:9" ht="18.75" x14ac:dyDescent="0.35">
      <c r="A73" s="34"/>
      <c r="B73" s="36" t="s">
        <v>38</v>
      </c>
      <c r="C73" s="61">
        <f>+C72*C23</f>
        <v>44.733264961764839</v>
      </c>
      <c r="D73" s="39" t="s">
        <v>34</v>
      </c>
      <c r="E73" s="37"/>
      <c r="F73" s="37"/>
      <c r="G73" s="37"/>
      <c r="H73" s="37"/>
      <c r="I73" s="38"/>
    </row>
    <row r="74" spans="1:9" ht="18.75" x14ac:dyDescent="0.35">
      <c r="A74" s="34"/>
      <c r="B74" s="36" t="s">
        <v>42</v>
      </c>
      <c r="C74" s="61">
        <f>+C73*4/3</f>
        <v>59.644353282353116</v>
      </c>
      <c r="D74" s="39" t="s">
        <v>34</v>
      </c>
      <c r="E74" s="37"/>
      <c r="F74" s="37"/>
      <c r="G74" s="37"/>
      <c r="H74" s="37"/>
      <c r="I74" s="38"/>
    </row>
    <row r="75" spans="1:9" ht="18.75" x14ac:dyDescent="0.35">
      <c r="A75" s="34"/>
      <c r="B75" s="36" t="s">
        <v>420</v>
      </c>
      <c r="C75" s="61">
        <f>3*(C10*1000)^0.5*C23*12*C71/C11/1000</f>
        <v>27.167756368806572</v>
      </c>
      <c r="D75" s="39" t="s">
        <v>34</v>
      </c>
      <c r="E75" s="37"/>
      <c r="F75" s="37"/>
      <c r="G75" s="37"/>
      <c r="H75" s="37"/>
      <c r="I75" s="38"/>
    </row>
    <row r="76" spans="1:9" ht="18.75" x14ac:dyDescent="0.35">
      <c r="A76" s="34"/>
      <c r="B76" s="36" t="s">
        <v>421</v>
      </c>
      <c r="C76" s="61">
        <f>200*C23*12*C71/C11/1000</f>
        <v>33.067540000000001</v>
      </c>
      <c r="D76" s="39" t="s">
        <v>34</v>
      </c>
      <c r="E76" s="37"/>
      <c r="F76" s="37"/>
      <c r="G76" s="37"/>
      <c r="H76" s="37"/>
      <c r="I76" s="38"/>
    </row>
    <row r="77" spans="1:9" ht="18.75" x14ac:dyDescent="0.35">
      <c r="A77" s="34"/>
      <c r="B77" s="36" t="s">
        <v>43</v>
      </c>
      <c r="C77" s="61">
        <f>+MAX(C75:C76)</f>
        <v>33.067540000000001</v>
      </c>
      <c r="D77" s="39" t="s">
        <v>34</v>
      </c>
      <c r="E77" s="37"/>
      <c r="F77" s="37"/>
      <c r="G77" s="37"/>
      <c r="H77" s="37"/>
      <c r="I77" s="38"/>
    </row>
    <row r="78" spans="1:9" ht="18.75" x14ac:dyDescent="0.35">
      <c r="A78" s="34"/>
      <c r="B78" s="36" t="s">
        <v>408</v>
      </c>
      <c r="C78" s="61">
        <f>+IF(C11=60,0.0018*C23*12*C21,0.002*C23*12*C21)</f>
        <v>20.195999999999998</v>
      </c>
      <c r="D78" s="39" t="s">
        <v>34</v>
      </c>
      <c r="E78" s="37"/>
      <c r="F78" s="37"/>
      <c r="G78" s="37"/>
      <c r="H78" s="37"/>
      <c r="I78" s="38"/>
    </row>
    <row r="79" spans="1:9" ht="18.75" x14ac:dyDescent="0.35">
      <c r="A79" s="34"/>
      <c r="B79" s="36" t="s">
        <v>40</v>
      </c>
      <c r="C79" s="61">
        <f>+IF(C73&gt;C77,C73,IF(C74&gt;C77,C77,IF(C74&gt;C78,C74,C78)))</f>
        <v>44.733264961764839</v>
      </c>
      <c r="D79" s="39" t="s">
        <v>34</v>
      </c>
      <c r="E79" s="37"/>
      <c r="F79" s="37"/>
      <c r="G79" s="37"/>
      <c r="H79" s="37"/>
      <c r="I79" s="38"/>
    </row>
    <row r="80" spans="1:9" x14ac:dyDescent="0.25">
      <c r="A80" s="34"/>
      <c r="B80" s="36" t="s">
        <v>409</v>
      </c>
      <c r="C80" s="68">
        <f>+C19-C12</f>
        <v>33</v>
      </c>
      <c r="D80" s="39" t="s">
        <v>0</v>
      </c>
      <c r="E80" s="37" t="s">
        <v>51</v>
      </c>
      <c r="F80" s="37"/>
      <c r="G80" s="37"/>
      <c r="H80" s="37"/>
      <c r="I80" s="38"/>
    </row>
    <row r="81" spans="1:17" ht="18" x14ac:dyDescent="0.35">
      <c r="A81" s="34"/>
      <c r="B81" s="36" t="s">
        <v>50</v>
      </c>
      <c r="C81" s="44">
        <v>1</v>
      </c>
      <c r="D81" s="39"/>
      <c r="E81" s="37" t="s">
        <v>49</v>
      </c>
      <c r="F81" s="37"/>
      <c r="G81" s="37"/>
      <c r="H81" s="37"/>
      <c r="I81" s="38"/>
    </row>
    <row r="82" spans="1:17" ht="18" x14ac:dyDescent="0.35">
      <c r="A82" s="34"/>
      <c r="B82" s="36" t="s">
        <v>47</v>
      </c>
      <c r="C82" s="61">
        <f>0.02*C63*C11*1000/(C10*1000)^0.5*P21*0.7</f>
        <v>25.964240115974892</v>
      </c>
      <c r="D82" s="39" t="s">
        <v>0</v>
      </c>
      <c r="E82" s="37" t="str">
        <f>+IF(C82&gt;C80,"NG; insufficient length available to develop hook","OK; sufficient length available to develop hook")</f>
        <v>OK; sufficient length available to develop hook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19.871909853832221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15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63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75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+C18*12/2+C12</f>
        <v>33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37.5</v>
      </c>
      <c r="C88" s="39" t="s">
        <v>0</v>
      </c>
      <c r="D88" s="37"/>
      <c r="E88" s="37"/>
      <c r="F88" s="37"/>
      <c r="G88" s="70"/>
      <c r="H88" s="37"/>
      <c r="I88" s="38"/>
      <c r="J88" s="16" t="s">
        <v>56</v>
      </c>
      <c r="K88" s="51"/>
      <c r="L88" s="51"/>
      <c r="M88" s="51"/>
      <c r="N88" s="51"/>
      <c r="O88" s="51">
        <f>+C18*12+C12</f>
        <v>63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+IF(M86&gt;O88,0,IF(M86&gt;O87,4,6))</f>
        <v>4</v>
      </c>
      <c r="F89" s="37"/>
      <c r="G89" s="37"/>
      <c r="H89" s="37"/>
      <c r="I89" s="38"/>
    </row>
    <row r="90" spans="1:17" ht="18.75" x14ac:dyDescent="0.35">
      <c r="A90" s="59" t="s">
        <v>3</v>
      </c>
      <c r="B90" s="60">
        <f>4*(C10*1000)^0.5</f>
        <v>219.08902300206645</v>
      </c>
      <c r="C90" s="39" t="s">
        <v>5</v>
      </c>
      <c r="D90" s="37"/>
      <c r="E90" s="37"/>
      <c r="F90" s="37"/>
      <c r="G90" s="37"/>
      <c r="H90" s="37"/>
      <c r="I90" s="38"/>
    </row>
    <row r="91" spans="1:17" ht="18" x14ac:dyDescent="0.35">
      <c r="A91" s="59" t="s">
        <v>11</v>
      </c>
      <c r="B91" s="68">
        <f>4*(B87+C43)</f>
        <v>504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219.08902300206645</v>
      </c>
      <c r="P91" s="16" t="s">
        <v>5</v>
      </c>
    </row>
    <row r="92" spans="1:17" ht="18.75" x14ac:dyDescent="0.35">
      <c r="A92" s="59" t="s">
        <v>7</v>
      </c>
      <c r="B92" s="68">
        <f>+B90*B91*B87/1000</f>
        <v>8281.5650694781107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6211.173802108583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6928.2250000000004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1.1154453603677925</v>
      </c>
      <c r="C95" s="39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100.5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75</v>
      </c>
      <c r="C99" s="39" t="s">
        <v>0</v>
      </c>
      <c r="D99" s="37"/>
      <c r="E99" s="37"/>
      <c r="F99" s="37"/>
      <c r="G99" s="37"/>
      <c r="H99" s="37"/>
      <c r="I99" s="38"/>
      <c r="J99" s="16" t="s">
        <v>59</v>
      </c>
      <c r="K99" s="51"/>
      <c r="L99" s="51"/>
      <c r="M99" s="51"/>
      <c r="N99" s="51"/>
      <c r="O99" s="51">
        <f>C18*12+C12</f>
        <v>63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+IF(M98&gt;O99,0,2)</f>
        <v>0</v>
      </c>
      <c r="F100" s="37"/>
      <c r="G100" s="37"/>
      <c r="H100" s="37"/>
      <c r="I100" s="38"/>
    </row>
    <row r="101" spans="1:17" ht="18.75" x14ac:dyDescent="0.35">
      <c r="A101" s="59" t="s">
        <v>60</v>
      </c>
      <c r="B101" s="60">
        <f>2*(C10*1000)^0.5</f>
        <v>109.54451150103323</v>
      </c>
      <c r="C101" s="39" t="s">
        <v>5</v>
      </c>
      <c r="D101" s="37"/>
      <c r="E101" s="37"/>
      <c r="F101" s="37"/>
      <c r="G101" s="37"/>
      <c r="H101" s="37"/>
      <c r="I101" s="38"/>
      <c r="L101" s="16" t="s">
        <v>83</v>
      </c>
      <c r="O101" s="16">
        <f>+B101</f>
        <v>109.54451150103323</v>
      </c>
      <c r="P101" s="16" t="s">
        <v>5</v>
      </c>
    </row>
    <row r="102" spans="1:17" x14ac:dyDescent="0.25">
      <c r="A102" s="59" t="s">
        <v>61</v>
      </c>
      <c r="B102" s="68">
        <f>+C23*12*B99</f>
        <v>9900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1084.4906638602288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813.36799789517158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7.0124999999999993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8.6215587755442812E-3</v>
      </c>
      <c r="C106" s="39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100.5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75</v>
      </c>
      <c r="C110" s="39" t="s">
        <v>0</v>
      </c>
      <c r="D110" s="37"/>
      <c r="E110" s="37"/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C18*12/2+C12</f>
        <v>33</v>
      </c>
      <c r="P110" s="16" t="s">
        <v>0</v>
      </c>
      <c r="Q110" s="16" t="s">
        <v>119</v>
      </c>
    </row>
    <row r="111" spans="1:17" x14ac:dyDescent="0.25">
      <c r="A111" s="59"/>
      <c r="B111" s="70"/>
      <c r="C111" s="70"/>
      <c r="D111" s="59" t="s">
        <v>414</v>
      </c>
      <c r="E111" s="72">
        <f>+IF(M109&gt;O110,0,2)</f>
        <v>0</v>
      </c>
      <c r="F111" s="37"/>
      <c r="G111" s="37"/>
      <c r="H111" s="37"/>
      <c r="I111" s="38"/>
    </row>
    <row r="112" spans="1:17" ht="18.75" x14ac:dyDescent="0.35">
      <c r="A112" s="59" t="s">
        <v>60</v>
      </c>
      <c r="B112" s="60">
        <f>2*(C10*1000)^0.5</f>
        <v>109.54451150103323</v>
      </c>
      <c r="C112" s="114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109.54451150103323</v>
      </c>
      <c r="P112" s="16" t="s">
        <v>5</v>
      </c>
    </row>
    <row r="113" spans="1:23" x14ac:dyDescent="0.25">
      <c r="A113" s="59" t="s">
        <v>61</v>
      </c>
      <c r="B113" s="68">
        <f>+C22*12*B110</f>
        <v>14400</v>
      </c>
      <c r="C113" s="114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1577.4409656148787</v>
      </c>
      <c r="C114" s="114" t="s">
        <v>18</v>
      </c>
      <c r="D114" s="37" t="s">
        <v>62</v>
      </c>
      <c r="E114" s="37"/>
      <c r="F114" s="37"/>
      <c r="G114" s="37"/>
      <c r="H114" s="37"/>
      <c r="I114" s="38"/>
    </row>
    <row r="115" spans="1:23" ht="18" x14ac:dyDescent="0.35">
      <c r="A115" s="59" t="s">
        <v>12</v>
      </c>
      <c r="B115" s="68">
        <f>+B114*0.75</f>
        <v>1183.0807242111591</v>
      </c>
      <c r="C115" s="114" t="s">
        <v>18</v>
      </c>
      <c r="D115" s="37"/>
      <c r="E115" s="37"/>
      <c r="F115" s="37"/>
      <c r="G115" s="37"/>
      <c r="H115" s="37"/>
      <c r="I115" s="38"/>
    </row>
    <row r="116" spans="1:23" ht="18" x14ac:dyDescent="0.35">
      <c r="A116" s="59" t="s">
        <v>57</v>
      </c>
      <c r="B116" s="68">
        <f>+E111*C14*C7-C7*0.15*C22*C23*C21/12*((C23/2-M109/12)/C23)</f>
        <v>78.199999999999989</v>
      </c>
      <c r="C116" s="114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6.6098617279172794E-2</v>
      </c>
      <c r="C117" s="114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22.5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10291.506249999999</v>
      </c>
      <c r="W127" s="37" t="s">
        <v>8</v>
      </c>
    </row>
    <row r="128" spans="1:23" ht="18.75" x14ac:dyDescent="0.35">
      <c r="A128" s="59" t="s">
        <v>1</v>
      </c>
      <c r="B128" s="43">
        <f>+B87</f>
        <v>75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NG, but answer conservative</v>
      </c>
      <c r="U128" s="37" t="s">
        <v>3</v>
      </c>
      <c r="V128" s="37">
        <f>+B133</f>
        <v>219.08902300206645</v>
      </c>
      <c r="W128" s="37" t="s">
        <v>5</v>
      </c>
    </row>
    <row r="129" spans="1:23" ht="18.75" x14ac:dyDescent="0.35">
      <c r="A129" s="59" t="s">
        <v>53</v>
      </c>
      <c r="B129" s="63">
        <f>+B128/2</f>
        <v>37.5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1752.7121840165316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6</v>
      </c>
      <c r="G130" s="37"/>
      <c r="H130" s="37"/>
      <c r="I130" s="38"/>
      <c r="Q130" s="37" t="s">
        <v>16</v>
      </c>
      <c r="R130" s="16">
        <f>+C18*12-C43/2+C12</f>
        <v>37.5</v>
      </c>
      <c r="S130" s="16" t="s">
        <v>0</v>
      </c>
      <c r="U130" s="37" t="s">
        <v>11</v>
      </c>
      <c r="V130" s="37">
        <f>+B135</f>
        <v>504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7.5</v>
      </c>
      <c r="C131" s="39" t="s">
        <v>0</v>
      </c>
      <c r="D131" s="37" t="str">
        <f>IF(B131&gt;B129,"&gt;","&lt;")</f>
        <v>&lt;</v>
      </c>
      <c r="E131" s="37" t="s">
        <v>17</v>
      </c>
      <c r="F131" s="37" t="str">
        <f>IF(D131="&gt;","Limit state not applicable","This procedure applies")</f>
        <v>This procedure applies</v>
      </c>
      <c r="G131" s="37"/>
      <c r="H131" s="37"/>
      <c r="I131" s="38"/>
      <c r="Q131" s="37" t="s">
        <v>13</v>
      </c>
      <c r="R131" s="37">
        <f>+C14*E130*C7-C7*0.15*C22*C23*C21/12+C7*0.15*(C43)/12*(C43)/12*C21/12</f>
        <v>10291.506249999999</v>
      </c>
      <c r="S131" s="37" t="s">
        <v>8</v>
      </c>
      <c r="T131" s="37"/>
      <c r="U131" s="37" t="s">
        <v>2</v>
      </c>
      <c r="V131" s="37">
        <f>+B136</f>
        <v>204</v>
      </c>
      <c r="W131" s="37" t="s">
        <v>0</v>
      </c>
    </row>
    <row r="132" spans="1:23" ht="18.75" x14ac:dyDescent="0.35">
      <c r="A132" s="154" t="s">
        <v>57</v>
      </c>
      <c r="B132" s="68">
        <f>+C14*E130*C7-C7*0.15*C22*C23*C21/12+C7*0.15*(C43)/12*(C43)/12*C21/12</f>
        <v>10291.506249999999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219.08902300206645</v>
      </c>
      <c r="S132" s="37" t="s">
        <v>5</v>
      </c>
      <c r="T132" s="37"/>
      <c r="U132" s="37" t="s">
        <v>6</v>
      </c>
      <c r="V132" s="37">
        <f>IF(2*B128/V126*(1+B128/C43)&lt;32,2*B128/V126*(1+B128/C43),32)</f>
        <v>16.47058823529412</v>
      </c>
      <c r="W132" s="37"/>
    </row>
    <row r="133" spans="1:23" ht="18.75" x14ac:dyDescent="0.35">
      <c r="A133" s="59" t="s">
        <v>3</v>
      </c>
      <c r="B133" s="68">
        <f>4*(C10*1000)^0.5</f>
        <v>219.08902300206645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1752.7121840165316</v>
      </c>
      <c r="S133" s="37" t="s">
        <v>5</v>
      </c>
      <c r="T133" s="37"/>
      <c r="U133" s="34" t="s">
        <v>7</v>
      </c>
      <c r="V133" s="37">
        <f>+V132*(C10*1000)^0.5*V131*B128/1000</f>
        <v>13802.608449130188</v>
      </c>
      <c r="W133" s="37" t="s">
        <v>8</v>
      </c>
    </row>
    <row r="134" spans="1:23" ht="18.75" x14ac:dyDescent="0.35">
      <c r="A134" s="59" t="s">
        <v>4</v>
      </c>
      <c r="B134" s="68">
        <f>+B133*8</f>
        <v>1752.7121840165316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504</v>
      </c>
      <c r="S134" s="37" t="s">
        <v>0</v>
      </c>
      <c r="T134" s="37"/>
      <c r="U134" s="34" t="s">
        <v>12</v>
      </c>
      <c r="V134" s="37">
        <f>+V133*0.75</f>
        <v>10351.956336847641</v>
      </c>
      <c r="W134" s="37" t="s">
        <v>8</v>
      </c>
    </row>
    <row r="135" spans="1:23" ht="18" x14ac:dyDescent="0.35">
      <c r="A135" s="59" t="s">
        <v>11</v>
      </c>
      <c r="B135" s="61">
        <f>4*(B128+C43)</f>
        <v>504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1752.7121840165316</v>
      </c>
      <c r="P135" s="16" t="s">
        <v>5</v>
      </c>
      <c r="Q135" s="37" t="s">
        <v>2</v>
      </c>
      <c r="R135" s="37">
        <f>+B136</f>
        <v>204</v>
      </c>
      <c r="S135" s="37" t="s">
        <v>0</v>
      </c>
      <c r="T135" s="37"/>
      <c r="U135" s="34" t="s">
        <v>14</v>
      </c>
      <c r="V135" s="37">
        <f>+V127/V134</f>
        <v>0.99416051566673713</v>
      </c>
      <c r="W135" s="37"/>
    </row>
    <row r="136" spans="1:23" ht="18" x14ac:dyDescent="0.35">
      <c r="A136" s="59" t="s">
        <v>2</v>
      </c>
      <c r="B136" s="61">
        <f>4*C43</f>
        <v>204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9.882352941176471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32</v>
      </c>
      <c r="C137" s="39"/>
      <c r="D137" s="37" t="s">
        <v>9</v>
      </c>
      <c r="E137" s="37"/>
      <c r="F137" s="37"/>
      <c r="G137" s="37"/>
      <c r="H137" s="37"/>
      <c r="I137" s="38"/>
      <c r="K137" s="16">
        <f>+(R136+B137)/2</f>
        <v>20.941176470588236</v>
      </c>
      <c r="Q137" s="37" t="s">
        <v>7</v>
      </c>
      <c r="R137" s="37">
        <f>+R136*(C10*1000)^0.5*R135*B128/1000</f>
        <v>8281.5650694781125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26816.496415452933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K138" s="16">
        <f>+K137*(C10*1000)^0.5*R135*B128/1000</f>
        <v>17549.030742465522</v>
      </c>
      <c r="Q138" s="37" t="s">
        <v>12</v>
      </c>
      <c r="R138" s="37">
        <f>+R137*0.75</f>
        <v>6211.1738021085839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20112.372311589701</v>
      </c>
      <c r="C139" s="39" t="s">
        <v>18</v>
      </c>
      <c r="D139" s="37"/>
      <c r="E139" s="37"/>
      <c r="F139" s="37"/>
      <c r="G139" s="37"/>
      <c r="H139" s="37"/>
      <c r="I139" s="38"/>
      <c r="K139" s="16">
        <f>+R131/K138</f>
        <v>0.5864430008146484</v>
      </c>
      <c r="Q139" s="37" t="s">
        <v>14</v>
      </c>
      <c r="R139" s="37">
        <f>+R131/R138</f>
        <v>1.6569341927778956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0.51170026541670299</v>
      </c>
      <c r="C140" s="37"/>
      <c r="D140" s="130" t="s">
        <v>233</v>
      </c>
      <c r="F140" s="16" t="s">
        <v>14</v>
      </c>
      <c r="G140" s="80">
        <f>+(B140+R139)/2</f>
        <v>1.0843172290972993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75.153499999999994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+C18*12-C43/2+C12</f>
        <v>37.5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0.49897875681106008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2*C7*C14-C7*0.15*C22*C23*C21/12*((C22/2-C43/2/12)/C22)</f>
        <v>3410.1374999999998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C7*C14*(2*B145)-C7*0.15*C22*C23*C21/12*((C22/2-C43/2/12)/C22)*(C22/2-C43/2/12)*12/2</f>
        <v>128127.346875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518.69546109812165</v>
      </c>
      <c r="P148" s="16" t="s">
        <v>5</v>
      </c>
    </row>
    <row r="149" spans="1:16" ht="18" x14ac:dyDescent="0.35">
      <c r="A149" s="59" t="s">
        <v>65</v>
      </c>
      <c r="B149" s="61">
        <f>+B147*B144/B148</f>
        <v>2.000226921550778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0.49994327604824906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9.4700401506328191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3859.1961542281306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0.8836393289477803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73.460499999999996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+C18*12/2-C43/2+C12</f>
        <v>7.5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0.1020956840751152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3*C7*C14-C7*0.15*C22*C23*C21/12*((C23/2-C43/2/12)/C23)</f>
        <v>5188.2000000000007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C7*C14*(3*B158)-C7*0.15*C22*C23*C21/12*((C23/2-C43/2/12)/C23)*(C23/2-C43/2/12)*12/2</f>
        <v>37741.050000000003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547.72255750516615</v>
      </c>
      <c r="P161" s="16" t="s">
        <v>5</v>
      </c>
    </row>
    <row r="162" spans="1:32" ht="18" x14ac:dyDescent="0.35">
      <c r="A162" s="59" t="s">
        <v>65</v>
      </c>
      <c r="B162" s="61">
        <f>+B160*B157/B161</f>
        <v>10.098493976717659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9.9024666678568712E-2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10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5793.9801027275889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0.895446637374124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75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37.5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46.172839506172842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95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22383.1875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219.08902300206645</v>
      </c>
      <c r="S172" s="16" t="s">
        <v>5</v>
      </c>
      <c r="AB172" s="16" t="s">
        <v>86</v>
      </c>
      <c r="AE172" s="16">
        <f>+R175/T171*1000</f>
        <v>74.892019358062328</v>
      </c>
      <c r="AF172" s="16" t="s">
        <v>5</v>
      </c>
    </row>
    <row r="173" spans="1:32" ht="18.75" x14ac:dyDescent="0.35">
      <c r="A173" s="34"/>
      <c r="B173" s="40">
        <f>+C66</f>
        <v>13</v>
      </c>
      <c r="C173" s="39" t="s">
        <v>70</v>
      </c>
      <c r="D173" s="72" t="str">
        <f>"#"&amp;+C24</f>
        <v>#14</v>
      </c>
      <c r="E173" s="37" t="s">
        <v>71</v>
      </c>
      <c r="F173" s="37" t="s">
        <v>72</v>
      </c>
      <c r="G173" s="43">
        <f>+C23-0.5</f>
        <v>10.5</v>
      </c>
      <c r="H173" s="39" t="s">
        <v>73</v>
      </c>
      <c r="I173" s="38"/>
      <c r="Q173" s="16" t="s">
        <v>7</v>
      </c>
      <c r="R173" s="16">
        <f>+R172*T171/1000</f>
        <v>4903.9106810470657</v>
      </c>
      <c r="S173" s="16" t="s">
        <v>8</v>
      </c>
      <c r="T173" s="16" t="s">
        <v>87</v>
      </c>
    </row>
    <row r="174" spans="1:32" ht="18" x14ac:dyDescent="0.35">
      <c r="A174" s="34"/>
      <c r="B174" s="44">
        <f>+B173*2</f>
        <v>26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2.0749831250000006</v>
      </c>
      <c r="H174" s="39" t="s">
        <v>73</v>
      </c>
      <c r="I174" s="38"/>
      <c r="Q174" s="16" t="s">
        <v>12</v>
      </c>
      <c r="R174" s="16">
        <f>+R173*0.75</f>
        <v>3677.9330107852993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1458.8295553026487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1676.3221115451388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0.45577831532804791</v>
      </c>
    </row>
    <row r="177" spans="1:32" x14ac:dyDescent="0.25">
      <c r="A177" s="34"/>
      <c r="B177" s="40">
        <f>+C84</f>
        <v>15</v>
      </c>
      <c r="C177" s="39" t="s">
        <v>70</v>
      </c>
      <c r="D177" s="72" t="str">
        <f>"#"&amp;+C25</f>
        <v>#14</v>
      </c>
      <c r="E177" s="37" t="s">
        <v>71</v>
      </c>
      <c r="F177" s="37" t="s">
        <v>72</v>
      </c>
      <c r="G177" s="43">
        <f>+C22-0.5</f>
        <v>15.5</v>
      </c>
      <c r="H177" s="39" t="s">
        <v>73</v>
      </c>
      <c r="I177" s="38"/>
    </row>
    <row r="178" spans="1:32" ht="18.75" x14ac:dyDescent="0.3">
      <c r="A178" s="34"/>
      <c r="B178" s="44">
        <f>+B177*2</f>
        <v>30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2.0749831250000006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2257.759325202926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75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37.5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3716.5888805055747</v>
      </c>
      <c r="D181" s="39" t="s">
        <v>78</v>
      </c>
      <c r="E181" s="37" t="s">
        <v>79</v>
      </c>
      <c r="F181" s="80">
        <f>+C181/2000</f>
        <v>1.8582944402527874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120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298.4425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31383.1875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219.08902300206645</v>
      </c>
      <c r="S184" s="16" t="s">
        <v>5</v>
      </c>
      <c r="AB184" s="16" t="s">
        <v>86</v>
      </c>
      <c r="AE184" s="16">
        <f>+R187/T183*1000</f>
        <v>107.35144238865068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6875.7118880656644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5156.7839160492485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3369.0304448784723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0.65332007307755824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75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37.5</v>
      </c>
      <c r="U192" s="16" t="s">
        <v>0</v>
      </c>
      <c r="W192" s="51"/>
    </row>
    <row r="193" spans="1:54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146.610625</v>
      </c>
      <c r="U193" s="16" t="s">
        <v>0</v>
      </c>
      <c r="V193" s="51"/>
      <c r="W193" s="51"/>
    </row>
    <row r="194" spans="1:54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10995.796875</v>
      </c>
      <c r="U194" s="16" t="s">
        <v>34</v>
      </c>
    </row>
    <row r="195" spans="1:54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219.08902300206645</v>
      </c>
      <c r="S195" s="16" t="s">
        <v>5</v>
      </c>
      <c r="AB195" s="16" t="s">
        <v>86</v>
      </c>
      <c r="AE195" s="16">
        <f>+R198/T194*1000</f>
        <v>153.09536425810745</v>
      </c>
      <c r="AF195" s="16" t="s">
        <v>5</v>
      </c>
    </row>
    <row r="196" spans="1:54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2409.0583944729256</v>
      </c>
      <c r="S196" s="16" t="s">
        <v>8</v>
      </c>
      <c r="T196" s="16" t="s">
        <v>87</v>
      </c>
    </row>
    <row r="197" spans="1:54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1806.7937958546941</v>
      </c>
      <c r="S197" s="16" t="s">
        <v>8</v>
      </c>
    </row>
    <row r="198" spans="1:54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1683.4055278862847</v>
      </c>
      <c r="S198" s="16" t="s">
        <v>8</v>
      </c>
      <c r="T198" s="16" t="s">
        <v>344</v>
      </c>
    </row>
    <row r="199" spans="1:54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0.93170871615150685</v>
      </c>
      <c r="T199" s="16" t="s">
        <v>145</v>
      </c>
      <c r="V199" s="16">
        <f>+(C19*C19+C19*T170+3.1415*T170^2/4/4)/144</f>
        <v>45.055571831597227</v>
      </c>
      <c r="W199" s="16" t="s">
        <v>146</v>
      </c>
    </row>
    <row r="200" spans="1:54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4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4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75</v>
      </c>
      <c r="U202" s="16" t="s">
        <v>0</v>
      </c>
      <c r="V202" s="16" t="s">
        <v>52</v>
      </c>
      <c r="W202" s="51"/>
    </row>
    <row r="203" spans="1:54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4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147.82239999999999</v>
      </c>
      <c r="U204" s="16" t="s">
        <v>0</v>
      </c>
      <c r="V204" s="51"/>
      <c r="W204" s="51"/>
    </row>
    <row r="205" spans="1:54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11086.679999999998</v>
      </c>
      <c r="U205" s="16" t="s">
        <v>34</v>
      </c>
    </row>
    <row r="206" spans="1:54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109.54451150103323</v>
      </c>
      <c r="S206" s="16" t="s">
        <v>5</v>
      </c>
      <c r="AB206" s="16" t="s">
        <v>86</v>
      </c>
      <c r="AE206" s="16">
        <f>+R209/T205*1000</f>
        <v>152.9320838139802</v>
      </c>
      <c r="AF206" s="16" t="s">
        <v>5</v>
      </c>
    </row>
    <row r="207" spans="1:54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1214.484944768275</v>
      </c>
      <c r="S207" s="16" t="s">
        <v>8</v>
      </c>
      <c r="T207" s="16" t="s">
        <v>93</v>
      </c>
    </row>
    <row r="208" spans="1:54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910.86370857620625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</row>
    <row r="209" spans="1:54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1695.509074978778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</row>
    <row r="210" spans="1:54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1.8614300460263924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</row>
    <row r="211" spans="1:54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</row>
    <row r="212" spans="1:54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</row>
    <row r="213" spans="1:54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</row>
    <row r="214" spans="1:54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54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54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54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54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37" man="1"/>
    <brk id="85" max="37" man="1"/>
    <brk id="126" max="37" man="1"/>
    <brk id="167" max="37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13" customWidth="1"/>
    <col min="2" max="2" width="14.5703125" style="13" customWidth="1"/>
    <col min="3" max="3" width="9.7109375" style="13" customWidth="1"/>
    <col min="4" max="6" width="9.140625" style="13"/>
    <col min="7" max="7" width="7.85546875" style="13" customWidth="1"/>
    <col min="8" max="9" width="9.140625" style="13"/>
    <col min="10" max="10" width="9.140625" style="13" hidden="1" customWidth="1"/>
    <col min="11" max="11" width="12.85546875" style="13" hidden="1" customWidth="1"/>
    <col min="12" max="12" width="15.5703125" style="13" hidden="1" customWidth="1"/>
    <col min="13" max="13" width="9.140625" style="13" hidden="1" customWidth="1"/>
    <col min="14" max="14" width="14.140625" style="13" hidden="1" customWidth="1"/>
    <col min="15" max="15" width="12.85546875" style="13" hidden="1" customWidth="1"/>
    <col min="16" max="27" width="9.140625" style="13" hidden="1" customWidth="1"/>
    <col min="28" max="28" width="27.85546875" style="13" hidden="1" customWidth="1"/>
    <col min="29" max="38" width="9.140625" style="13" hidden="1" customWidth="1"/>
    <col min="39" max="52" width="9.140625" style="13" customWidth="1"/>
    <col min="53" max="16384" width="9.140625" style="13"/>
  </cols>
  <sheetData>
    <row r="1" spans="1:17" ht="15.75" customHeight="1" x14ac:dyDescent="0.35">
      <c r="A1" s="99" t="s">
        <v>224</v>
      </c>
      <c r="B1" s="100"/>
      <c r="C1" s="101"/>
      <c r="D1" s="101"/>
      <c r="E1" s="101"/>
      <c r="F1" s="101"/>
      <c r="G1" s="100"/>
      <c r="H1" s="100"/>
      <c r="I1" s="102"/>
      <c r="J1" s="131">
        <v>3</v>
      </c>
      <c r="K1" s="13">
        <v>60</v>
      </c>
      <c r="L1" s="13">
        <v>3</v>
      </c>
      <c r="M1" s="132" t="s">
        <v>102</v>
      </c>
      <c r="N1" s="13" t="s">
        <v>108</v>
      </c>
      <c r="O1" s="13">
        <v>3</v>
      </c>
      <c r="P1" s="13">
        <v>40</v>
      </c>
      <c r="Q1" s="13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131">
        <v>4</v>
      </c>
      <c r="L2" s="13">
        <v>4</v>
      </c>
      <c r="M2" s="132" t="s">
        <v>103</v>
      </c>
      <c r="N2" s="13" t="s">
        <v>109</v>
      </c>
      <c r="O2" s="13">
        <v>4</v>
      </c>
      <c r="P2" s="13">
        <v>50</v>
      </c>
      <c r="Q2" s="13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3">
        <v>5</v>
      </c>
      <c r="L3" s="13">
        <v>5</v>
      </c>
      <c r="M3" s="132" t="s">
        <v>104</v>
      </c>
      <c r="O3" s="13">
        <v>5</v>
      </c>
      <c r="P3" s="13">
        <v>60</v>
      </c>
      <c r="Q3" s="13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3">
        <v>6</v>
      </c>
      <c r="L4" s="13">
        <v>6</v>
      </c>
      <c r="O4" s="13">
        <v>6</v>
      </c>
      <c r="P4" s="13">
        <v>80</v>
      </c>
      <c r="Q4" s="13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3">
        <v>7</v>
      </c>
      <c r="O5" s="13">
        <v>7</v>
      </c>
      <c r="P5" s="13">
        <v>100</v>
      </c>
      <c r="Q5" s="13">
        <v>21</v>
      </c>
    </row>
    <row r="6" spans="1:17" x14ac:dyDescent="0.25">
      <c r="A6" s="151" t="s">
        <v>101</v>
      </c>
      <c r="B6" s="158"/>
      <c r="C6" s="158"/>
      <c r="D6" s="158"/>
      <c r="E6" s="158"/>
      <c r="F6" s="158"/>
      <c r="G6" s="158"/>
      <c r="H6" s="158"/>
      <c r="I6" s="159"/>
      <c r="L6" s="13">
        <v>8</v>
      </c>
      <c r="O6" s="13">
        <v>8</v>
      </c>
      <c r="P6" s="13">
        <v>120</v>
      </c>
      <c r="Q6" s="13">
        <v>21</v>
      </c>
    </row>
    <row r="7" spans="1:17" x14ac:dyDescent="0.25">
      <c r="A7" s="149"/>
      <c r="B7" s="35" t="s">
        <v>384</v>
      </c>
      <c r="C7" s="81">
        <v>1.6</v>
      </c>
      <c r="D7" s="118"/>
      <c r="E7" s="134"/>
      <c r="F7" s="134"/>
      <c r="G7" s="134"/>
      <c r="H7" s="134"/>
      <c r="I7" s="135"/>
      <c r="L7" s="13">
        <v>9</v>
      </c>
      <c r="O7" s="13">
        <v>9</v>
      </c>
      <c r="P7" s="13">
        <v>140</v>
      </c>
      <c r="Q7" s="13">
        <v>27</v>
      </c>
    </row>
    <row r="8" spans="1:17" ht="17.25" x14ac:dyDescent="0.25">
      <c r="A8" s="14"/>
      <c r="B8" s="36" t="s">
        <v>385</v>
      </c>
      <c r="C8" s="82" t="s">
        <v>103</v>
      </c>
      <c r="D8" s="118"/>
      <c r="E8" s="134"/>
      <c r="F8" s="134"/>
      <c r="G8" s="134"/>
      <c r="H8" s="134"/>
      <c r="I8" s="135"/>
      <c r="K8" s="13" t="s">
        <v>30</v>
      </c>
      <c r="L8" s="13" t="s">
        <v>31</v>
      </c>
      <c r="M8" s="13" t="s">
        <v>32</v>
      </c>
      <c r="N8" s="13" t="s">
        <v>134</v>
      </c>
      <c r="O8" s="13">
        <v>10</v>
      </c>
      <c r="P8" s="13">
        <v>160</v>
      </c>
      <c r="Q8" s="13">
        <v>27</v>
      </c>
    </row>
    <row r="9" spans="1:17" x14ac:dyDescent="0.25">
      <c r="A9" s="14"/>
      <c r="B9" s="36" t="s">
        <v>386</v>
      </c>
      <c r="C9" s="82" t="s">
        <v>108</v>
      </c>
      <c r="D9" s="37"/>
      <c r="E9" s="134"/>
      <c r="F9" s="134"/>
      <c r="G9" s="134"/>
      <c r="H9" s="134"/>
      <c r="I9" s="135"/>
      <c r="K9" s="13">
        <v>3</v>
      </c>
      <c r="L9" s="13">
        <f>3/8</f>
        <v>0.375</v>
      </c>
      <c r="M9" s="13">
        <f>3.1415*L9^2/4</f>
        <v>0.11044335937500001</v>
      </c>
      <c r="N9" s="13">
        <f t="shared" ref="N9:N14" si="0">-4*L9+3.1415*4*L9+MAX(4*L9,2.5)</f>
        <v>5.71225</v>
      </c>
      <c r="O9" s="13">
        <v>11</v>
      </c>
      <c r="P9" s="13">
        <v>180</v>
      </c>
      <c r="Q9" s="13">
        <v>27</v>
      </c>
    </row>
    <row r="10" spans="1:17" ht="18" x14ac:dyDescent="0.35">
      <c r="A10" s="14"/>
      <c r="B10" s="36" t="s">
        <v>387</v>
      </c>
      <c r="C10" s="82">
        <v>4</v>
      </c>
      <c r="D10" s="39" t="s">
        <v>21</v>
      </c>
      <c r="E10" s="134"/>
      <c r="F10" s="134"/>
      <c r="G10" s="134"/>
      <c r="H10" s="134"/>
      <c r="I10" s="135"/>
      <c r="K10" s="13">
        <v>4</v>
      </c>
      <c r="L10" s="13">
        <f>4/8</f>
        <v>0.5</v>
      </c>
      <c r="M10" s="13">
        <f t="shared" ref="M10:M16" si="1">3.1415*L10^2/4</f>
        <v>0.19634375000000001</v>
      </c>
      <c r="N10" s="13">
        <f t="shared" si="0"/>
        <v>6.7830000000000004</v>
      </c>
      <c r="O10" s="13">
        <v>14</v>
      </c>
      <c r="P10" s="13">
        <v>200</v>
      </c>
      <c r="Q10" s="13">
        <v>27</v>
      </c>
    </row>
    <row r="11" spans="1:17" ht="18" x14ac:dyDescent="0.35">
      <c r="A11" s="14"/>
      <c r="B11" s="36" t="s">
        <v>388</v>
      </c>
      <c r="C11" s="82">
        <v>60</v>
      </c>
      <c r="D11" s="39" t="s">
        <v>21</v>
      </c>
      <c r="E11" s="134"/>
      <c r="F11" s="134"/>
      <c r="G11" s="134"/>
      <c r="H11" s="134"/>
      <c r="I11" s="135"/>
      <c r="K11" s="13">
        <v>5</v>
      </c>
      <c r="L11" s="13">
        <f>5/8</f>
        <v>0.625</v>
      </c>
      <c r="M11" s="13">
        <f t="shared" si="1"/>
        <v>0.30678710937500003</v>
      </c>
      <c r="N11" s="13">
        <f t="shared" si="0"/>
        <v>7.8537500000000007</v>
      </c>
      <c r="O11" s="13">
        <v>3</v>
      </c>
      <c r="P11" s="13">
        <v>240</v>
      </c>
      <c r="Q11" s="13">
        <v>30</v>
      </c>
    </row>
    <row r="12" spans="1:17" x14ac:dyDescent="0.25">
      <c r="A12" s="14"/>
      <c r="B12" s="36" t="s">
        <v>389</v>
      </c>
      <c r="C12" s="82">
        <v>3</v>
      </c>
      <c r="D12" s="39" t="s">
        <v>0</v>
      </c>
      <c r="E12" s="134"/>
      <c r="F12" s="134"/>
      <c r="G12" s="134"/>
      <c r="H12" s="134"/>
      <c r="I12" s="135"/>
      <c r="K12" s="13">
        <v>6</v>
      </c>
      <c r="L12" s="13">
        <f>6/8</f>
        <v>0.75</v>
      </c>
      <c r="M12" s="13">
        <f t="shared" si="1"/>
        <v>0.44177343750000003</v>
      </c>
      <c r="N12" s="13">
        <f t="shared" si="0"/>
        <v>9.4245000000000001</v>
      </c>
      <c r="O12" s="13">
        <v>4</v>
      </c>
      <c r="P12" s="13">
        <v>280</v>
      </c>
      <c r="Q12" s="13">
        <v>30</v>
      </c>
    </row>
    <row r="13" spans="1:17" x14ac:dyDescent="0.25">
      <c r="A13" s="14"/>
      <c r="B13" s="36" t="s">
        <v>390</v>
      </c>
      <c r="C13" s="83">
        <v>40</v>
      </c>
      <c r="D13" s="39" t="s">
        <v>19</v>
      </c>
      <c r="E13" s="134"/>
      <c r="F13" s="134"/>
      <c r="G13" s="134"/>
      <c r="H13" s="134"/>
      <c r="I13" s="135"/>
      <c r="K13" s="13">
        <v>7</v>
      </c>
      <c r="L13" s="13">
        <f>7/8</f>
        <v>0.875</v>
      </c>
      <c r="M13" s="13">
        <f t="shared" si="1"/>
        <v>0.60130273437500004</v>
      </c>
      <c r="N13" s="13">
        <f t="shared" si="0"/>
        <v>10.99525</v>
      </c>
      <c r="O13" s="13">
        <v>5</v>
      </c>
      <c r="P13" s="13">
        <v>320</v>
      </c>
      <c r="Q13" s="13">
        <v>36</v>
      </c>
    </row>
    <row r="14" spans="1:17" x14ac:dyDescent="0.25">
      <c r="A14" s="14"/>
      <c r="B14" s="36" t="s">
        <v>390</v>
      </c>
      <c r="C14" s="121">
        <f>+C13*2</f>
        <v>80</v>
      </c>
      <c r="D14" s="39" t="s">
        <v>18</v>
      </c>
      <c r="E14" s="134"/>
      <c r="F14" s="134"/>
      <c r="G14" s="134"/>
      <c r="H14" s="134"/>
      <c r="I14" s="135"/>
      <c r="K14" s="13">
        <v>8</v>
      </c>
      <c r="L14" s="13">
        <f>8/8</f>
        <v>1</v>
      </c>
      <c r="M14" s="13">
        <f t="shared" si="1"/>
        <v>0.78537500000000005</v>
      </c>
      <c r="N14" s="13">
        <f t="shared" si="0"/>
        <v>12.566000000000001</v>
      </c>
      <c r="P14" s="13">
        <v>360</v>
      </c>
      <c r="Q14" s="13">
        <v>36</v>
      </c>
    </row>
    <row r="15" spans="1:17" x14ac:dyDescent="0.25">
      <c r="A15" s="14"/>
      <c r="B15" s="36" t="s">
        <v>391</v>
      </c>
      <c r="C15" s="122">
        <f>IF(C8="Steel",M23,4)</f>
        <v>6</v>
      </c>
      <c r="D15" s="39" t="s">
        <v>0</v>
      </c>
      <c r="E15" s="134"/>
      <c r="F15" s="134"/>
      <c r="G15" s="134"/>
      <c r="H15" s="134"/>
      <c r="I15" s="135"/>
      <c r="K15" s="13">
        <v>9</v>
      </c>
      <c r="L15" s="13">
        <v>1.1279999999999999</v>
      </c>
      <c r="M15" s="13">
        <f t="shared" si="1"/>
        <v>0.99929858399999982</v>
      </c>
      <c r="N15" s="13">
        <f>-5*L15+3.1415*5*L15+MAX(4*L15,2.5)</f>
        <v>16.590060000000001</v>
      </c>
      <c r="P15" s="13">
        <v>400</v>
      </c>
      <c r="Q15" s="13">
        <v>36</v>
      </c>
    </row>
    <row r="16" spans="1:17" x14ac:dyDescent="0.25">
      <c r="A16" s="14"/>
      <c r="B16" s="36" t="s">
        <v>392</v>
      </c>
      <c r="C16" s="81">
        <v>3</v>
      </c>
      <c r="D16" s="39" t="s">
        <v>0</v>
      </c>
      <c r="E16" s="134"/>
      <c r="F16" s="134"/>
      <c r="G16" s="134"/>
      <c r="H16" s="134"/>
      <c r="I16" s="135"/>
      <c r="K16" s="13">
        <v>10</v>
      </c>
      <c r="L16" s="13">
        <v>1.27</v>
      </c>
      <c r="M16" s="13">
        <f t="shared" si="1"/>
        <v>1.2667313375</v>
      </c>
      <c r="N16" s="13">
        <f t="shared" ref="N16:N18" si="2">-5*L16+3.1415*5*L16+MAX(4*L16,2.5)</f>
        <v>18.678525000000004</v>
      </c>
    </row>
    <row r="17" spans="1:17" ht="18" x14ac:dyDescent="0.35">
      <c r="A17" s="14"/>
      <c r="B17" s="36" t="s">
        <v>111</v>
      </c>
      <c r="C17" s="82">
        <v>20</v>
      </c>
      <c r="D17" s="39" t="s">
        <v>0</v>
      </c>
      <c r="E17" s="134"/>
      <c r="F17" s="134"/>
      <c r="G17" s="134"/>
      <c r="H17" s="134"/>
      <c r="I17" s="135"/>
      <c r="K17" s="13">
        <v>11</v>
      </c>
      <c r="L17" s="13">
        <v>1.41</v>
      </c>
      <c r="M17" s="13">
        <f>3.1415*L17^2/4</f>
        <v>1.5614040375</v>
      </c>
      <c r="N17" s="13">
        <f t="shared" si="2"/>
        <v>20.737575</v>
      </c>
    </row>
    <row r="18" spans="1:17" x14ac:dyDescent="0.25">
      <c r="A18" s="14"/>
      <c r="B18" s="36" t="s">
        <v>393</v>
      </c>
      <c r="C18" s="83">
        <v>6</v>
      </c>
      <c r="D18" s="39" t="s">
        <v>394</v>
      </c>
      <c r="E18" s="134"/>
      <c r="F18" s="134"/>
      <c r="G18" s="134"/>
      <c r="H18" s="134"/>
      <c r="I18" s="135"/>
      <c r="K18" s="13">
        <v>14</v>
      </c>
      <c r="L18" s="13">
        <v>1.6930000000000001</v>
      </c>
      <c r="M18" s="13">
        <f>3.1415*L18^2/4</f>
        <v>2.2510803083750002</v>
      </c>
      <c r="N18" s="13">
        <f t="shared" si="2"/>
        <v>24.899797500000005</v>
      </c>
    </row>
    <row r="19" spans="1:17" x14ac:dyDescent="0.25">
      <c r="A19" s="1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134"/>
      <c r="F19" s="134"/>
      <c r="G19" s="134"/>
      <c r="H19" s="134"/>
      <c r="I19" s="135"/>
      <c r="L19" s="13" t="s">
        <v>135</v>
      </c>
      <c r="M19" s="13">
        <f>+IF(C24=K9,N9,IF(C24=K10,N10,IF(C24=K11,N11,IF(C24=K12,N12,IF(C24=K13,N13,IF(C24=K14,N14,IF(C24=K15,N15,IF(C24=K16,N16,IF(C24=K17,N17,IF(C24=K18,N18,"NG"))))))))))</f>
        <v>24.899797500000005</v>
      </c>
    </row>
    <row r="20" spans="1:17" ht="18" x14ac:dyDescent="0.35">
      <c r="A20" s="14"/>
      <c r="B20" s="36" t="s">
        <v>396</v>
      </c>
      <c r="C20" s="122">
        <f>17+30/200*C13</f>
        <v>23</v>
      </c>
      <c r="D20" s="39" t="s">
        <v>0</v>
      </c>
      <c r="E20" s="134"/>
      <c r="F20" s="134"/>
      <c r="G20" s="134"/>
      <c r="H20" s="134"/>
      <c r="I20" s="135"/>
      <c r="L20" s="13" t="s">
        <v>136</v>
      </c>
      <c r="M20" s="13">
        <f>+IF(C25=K9,N9,IF(C25=K10,N10,IF(C25=K11,N11,IF(C25=K12,N12,IF(C25=K13,N13,IF(C25=K14,N14,IF(C25=K15,N15,IF(C25=K16,N16,IF(C25=K17,N17,IF(C25=K18,N18,"NG"))))))))))</f>
        <v>24.899797500000005</v>
      </c>
    </row>
    <row r="21" spans="1:17" ht="18" x14ac:dyDescent="0.35">
      <c r="A21" s="14"/>
      <c r="B21" s="36" t="s">
        <v>397</v>
      </c>
      <c r="C21" s="84">
        <v>84</v>
      </c>
      <c r="D21" s="39" t="s">
        <v>0</v>
      </c>
      <c r="E21" s="134"/>
      <c r="F21" s="134"/>
      <c r="G21" s="134"/>
      <c r="H21" s="134"/>
      <c r="I21" s="135"/>
      <c r="J21" s="13" t="s">
        <v>33</v>
      </c>
      <c r="L21" s="13">
        <f>+IF(C24&lt;9,(C24/8),IF(C24=9,1.128,IF(C24=10,1.27,IF(C24=11,1.41,IF(C24=14,1.693,0)))))</f>
        <v>1.6930000000000001</v>
      </c>
      <c r="M21" s="13" t="s">
        <v>20</v>
      </c>
      <c r="N21" s="13" t="s">
        <v>36</v>
      </c>
      <c r="P21" s="13">
        <f>+IF(C25&lt;9,(C25/8),IF(C25=9,1.128,IF(C25=10,1.27,IF(C25=11,1.41,IF(C25=14,1.693,0)))))</f>
        <v>1.6930000000000001</v>
      </c>
      <c r="Q21" s="13" t="s">
        <v>20</v>
      </c>
    </row>
    <row r="22" spans="1:17" ht="17.25" x14ac:dyDescent="0.25">
      <c r="A22" s="14"/>
      <c r="B22" s="36" t="s">
        <v>398</v>
      </c>
      <c r="C22" s="121">
        <f>2*C19/12+2*C18</f>
        <v>14.5</v>
      </c>
      <c r="D22" s="39" t="s">
        <v>394</v>
      </c>
      <c r="E22" s="134"/>
      <c r="F22" s="134"/>
      <c r="G22" s="134"/>
      <c r="H22" s="134"/>
      <c r="I22" s="135"/>
      <c r="J22" s="13" t="s">
        <v>35</v>
      </c>
      <c r="L22" s="13">
        <f>3.1415*L21^2/4</f>
        <v>2.2510803083750002</v>
      </c>
      <c r="M22" s="13" t="s">
        <v>34</v>
      </c>
      <c r="N22" s="13" t="s">
        <v>37</v>
      </c>
      <c r="P22" s="13">
        <f>3.1415*P21^2/4</f>
        <v>2.2510803083750002</v>
      </c>
      <c r="Q22" s="13" t="s">
        <v>34</v>
      </c>
    </row>
    <row r="23" spans="1:17" x14ac:dyDescent="0.25">
      <c r="A23" s="14"/>
      <c r="B23" s="36" t="s">
        <v>399</v>
      </c>
      <c r="C23" s="122">
        <f>2*C19/12+2*C18*0.8661</f>
        <v>12.8932</v>
      </c>
      <c r="D23" s="39" t="s">
        <v>394</v>
      </c>
      <c r="E23" s="134"/>
      <c r="F23" s="134"/>
      <c r="G23" s="134"/>
      <c r="H23" s="134"/>
      <c r="I23" s="135"/>
      <c r="J23" s="13" t="s">
        <v>110</v>
      </c>
      <c r="M23" s="13">
        <v>6</v>
      </c>
    </row>
    <row r="24" spans="1:17" x14ac:dyDescent="0.25">
      <c r="A24" s="14"/>
      <c r="B24" s="36" t="s">
        <v>400</v>
      </c>
      <c r="C24" s="81">
        <v>14</v>
      </c>
      <c r="D24" s="39"/>
      <c r="E24" s="134"/>
      <c r="F24" s="134"/>
      <c r="G24" s="134"/>
      <c r="H24" s="134"/>
      <c r="I24" s="135"/>
    </row>
    <row r="25" spans="1:17" x14ac:dyDescent="0.25">
      <c r="A25" s="14"/>
      <c r="B25" s="36" t="s">
        <v>401</v>
      </c>
      <c r="C25" s="83">
        <v>14</v>
      </c>
      <c r="D25" s="39"/>
      <c r="E25" s="134"/>
      <c r="F25" s="134"/>
      <c r="G25" s="134"/>
      <c r="H25" s="134"/>
      <c r="I25" s="135"/>
      <c r="J25" s="13" t="s">
        <v>112</v>
      </c>
    </row>
    <row r="26" spans="1:17" ht="18" x14ac:dyDescent="0.35">
      <c r="A26" s="14"/>
      <c r="B26" s="36" t="s">
        <v>402</v>
      </c>
      <c r="C26" s="123">
        <f>+C21-C15-C16-P21-0.5*L21</f>
        <v>72.460499999999996</v>
      </c>
      <c r="D26" s="39" t="s">
        <v>0</v>
      </c>
      <c r="E26" s="134"/>
      <c r="F26" s="134"/>
      <c r="G26" s="134"/>
      <c r="H26" s="134"/>
      <c r="I26" s="135"/>
    </row>
    <row r="27" spans="1:17" ht="18" x14ac:dyDescent="0.35">
      <c r="A27" s="14"/>
      <c r="B27" s="36" t="s">
        <v>403</v>
      </c>
      <c r="C27" s="61">
        <f>+C21-C15-C16-P21/2</f>
        <v>74.153499999999994</v>
      </c>
      <c r="D27" s="39" t="s">
        <v>0</v>
      </c>
      <c r="E27" s="134"/>
      <c r="F27" s="134"/>
      <c r="G27" s="134"/>
      <c r="H27" s="134"/>
      <c r="I27" s="135"/>
      <c r="J27" s="13" t="s">
        <v>116</v>
      </c>
      <c r="L27" s="13">
        <f>+(C17*C17*4/3.1415)^0.5</f>
        <v>22.567916137102415</v>
      </c>
    </row>
    <row r="28" spans="1:17" ht="18" x14ac:dyDescent="0.35">
      <c r="A28" s="14"/>
      <c r="B28" s="36" t="s">
        <v>404</v>
      </c>
      <c r="C28" s="45">
        <f>+C21-C15-C16-1</f>
        <v>74</v>
      </c>
      <c r="D28" s="39" t="s">
        <v>0</v>
      </c>
      <c r="E28" s="134"/>
      <c r="F28" s="134"/>
      <c r="G28" s="134"/>
      <c r="H28" s="134"/>
      <c r="I28" s="135"/>
    </row>
    <row r="29" spans="1:17" x14ac:dyDescent="0.25">
      <c r="A29" s="136" t="str">
        <f>+IF(C13&gt;200,"High capacity pile selected - special details required - see CRSI Pile Cap Design Guide", "")</f>
        <v/>
      </c>
      <c r="B29" s="137"/>
      <c r="C29" s="137"/>
      <c r="D29" s="137"/>
      <c r="E29" s="137"/>
      <c r="F29" s="137"/>
      <c r="G29" s="137"/>
      <c r="H29" s="137"/>
      <c r="I29" s="138"/>
      <c r="J29" s="13" t="s">
        <v>115</v>
      </c>
      <c r="M29" s="13">
        <f>+IF(C9="Round",C17,L27)</f>
        <v>20</v>
      </c>
    </row>
    <row r="30" spans="1:17" x14ac:dyDescent="0.25">
      <c r="A30" s="151" t="s">
        <v>113</v>
      </c>
      <c r="B30" s="134"/>
      <c r="C30" s="134"/>
      <c r="D30" s="134"/>
      <c r="E30" s="134"/>
      <c r="F30" s="134"/>
      <c r="G30" s="134"/>
      <c r="H30" s="134"/>
      <c r="I30" s="135"/>
    </row>
    <row r="31" spans="1:17" ht="18.75" x14ac:dyDescent="0.3">
      <c r="A31" s="14" t="s">
        <v>122</v>
      </c>
      <c r="B31" s="134"/>
      <c r="C31" s="134"/>
      <c r="D31" s="134"/>
      <c r="E31" s="139" t="str">
        <f>+IF(C64&gt;C62,"NG; select smaller bar size","OK")</f>
        <v>NG; select smaller bar size</v>
      </c>
      <c r="F31" s="134"/>
      <c r="G31" s="134"/>
      <c r="H31" s="134"/>
      <c r="I31" s="135"/>
      <c r="J31" s="140" t="s">
        <v>84</v>
      </c>
    </row>
    <row r="32" spans="1:17" x14ac:dyDescent="0.25">
      <c r="A32" s="14" t="s">
        <v>123</v>
      </c>
      <c r="B32" s="134"/>
      <c r="C32" s="134"/>
      <c r="D32" s="134"/>
      <c r="E32" s="139" t="str">
        <f>+IF(C82&gt;C80,"NG; select smaller bar size","OK")</f>
        <v>NG; select smaller bar size</v>
      </c>
      <c r="F32" s="134"/>
      <c r="G32" s="134"/>
      <c r="H32" s="134"/>
      <c r="I32" s="135"/>
      <c r="J32" s="13" t="s">
        <v>1</v>
      </c>
      <c r="M32" s="13">
        <f>+C28</f>
        <v>74</v>
      </c>
      <c r="N32" s="13" t="s">
        <v>0</v>
      </c>
      <c r="O32" s="13" t="s">
        <v>52</v>
      </c>
      <c r="P32" s="141"/>
    </row>
    <row r="33" spans="1:25" x14ac:dyDescent="0.25">
      <c r="A33" s="14" t="s">
        <v>124</v>
      </c>
      <c r="B33" s="134"/>
      <c r="C33" s="139" t="str">
        <f>+IF(B95&lt;1,"OK","NG")</f>
        <v>OK</v>
      </c>
      <c r="D33" s="134"/>
      <c r="E33" s="134"/>
      <c r="F33" s="134"/>
      <c r="G33" s="134"/>
      <c r="H33" s="134"/>
      <c r="I33" s="135"/>
      <c r="J33" s="13" t="s">
        <v>53</v>
      </c>
      <c r="M33" s="13">
        <f>+M32/2</f>
        <v>37</v>
      </c>
      <c r="N33" s="13" t="s">
        <v>0</v>
      </c>
      <c r="P33" s="141"/>
    </row>
    <row r="34" spans="1:25" x14ac:dyDescent="0.25">
      <c r="A34" s="14" t="s">
        <v>125</v>
      </c>
      <c r="B34" s="134"/>
      <c r="C34" s="139" t="str">
        <f>+IF(B106&lt;1,"OK","NG")</f>
        <v>OK</v>
      </c>
      <c r="D34" s="134"/>
      <c r="E34" s="134"/>
      <c r="F34" s="134"/>
      <c r="G34" s="36" t="s">
        <v>337</v>
      </c>
      <c r="H34" s="139" t="str">
        <f>+IF(R176&lt;1,"OK","NG")</f>
        <v>OK</v>
      </c>
      <c r="I34" s="135"/>
      <c r="J34" s="13" t="s">
        <v>114</v>
      </c>
      <c r="K34" s="141"/>
      <c r="M34" s="141">
        <f>+M29+M32</f>
        <v>94</v>
      </c>
      <c r="N34" s="13" t="s">
        <v>0</v>
      </c>
      <c r="O34" s="141"/>
      <c r="P34" s="141"/>
    </row>
    <row r="35" spans="1:25" ht="17.25" x14ac:dyDescent="0.25">
      <c r="A35" s="14" t="s">
        <v>126</v>
      </c>
      <c r="B35" s="134"/>
      <c r="C35" s="139" t="str">
        <f>+IF(B117&lt;1,"OK","NG")</f>
        <v>OK</v>
      </c>
      <c r="D35" s="134"/>
      <c r="E35" s="134"/>
      <c r="F35" s="134"/>
      <c r="G35" s="36" t="s">
        <v>338</v>
      </c>
      <c r="H35" s="139" t="str">
        <f>+IF(R188&lt;1,"OK","NG")</f>
        <v>OK</v>
      </c>
      <c r="I35" s="135"/>
      <c r="J35" s="13" t="s">
        <v>85</v>
      </c>
      <c r="K35" s="141"/>
      <c r="L35" s="141"/>
      <c r="M35" s="141">
        <f>+M34*3.1415*M32</f>
        <v>21852.274000000005</v>
      </c>
      <c r="N35" s="13" t="s">
        <v>34</v>
      </c>
    </row>
    <row r="36" spans="1:25" ht="18.75" x14ac:dyDescent="0.35">
      <c r="A36" s="14" t="s">
        <v>127</v>
      </c>
      <c r="B36" s="134"/>
      <c r="C36" s="139" t="str">
        <f>+IF(B131&gt;B129,"NA",IF(B140&lt;1,"OK","NG"))</f>
        <v>NA</v>
      </c>
      <c r="D36" s="134"/>
      <c r="E36" s="134"/>
      <c r="F36" s="134"/>
      <c r="G36" s="36" t="s">
        <v>339</v>
      </c>
      <c r="H36" s="139" t="s">
        <v>227</v>
      </c>
      <c r="I36" s="135"/>
      <c r="J36" s="13" t="s">
        <v>3</v>
      </c>
      <c r="K36" s="13">
        <f>4*(C10*1000)^0.5</f>
        <v>252.98221281347034</v>
      </c>
      <c r="L36" s="13" t="s">
        <v>5</v>
      </c>
      <c r="U36" s="13" t="s">
        <v>86</v>
      </c>
      <c r="X36" s="13">
        <f>+K39/M35*1000</f>
        <v>2.1525590044618084</v>
      </c>
      <c r="Y36" s="13" t="s">
        <v>5</v>
      </c>
    </row>
    <row r="37" spans="1:25" ht="18.75" x14ac:dyDescent="0.35">
      <c r="A37" s="14" t="s">
        <v>128</v>
      </c>
      <c r="B37" s="134"/>
      <c r="C37" s="139" t="str">
        <f>+IF(B153&lt;1,"OK","NG")</f>
        <v>OK</v>
      </c>
      <c r="D37" s="134"/>
      <c r="E37" s="134"/>
      <c r="F37" s="134"/>
      <c r="G37" s="36" t="s">
        <v>340</v>
      </c>
      <c r="H37" s="139" t="s">
        <v>227</v>
      </c>
      <c r="I37" s="135"/>
      <c r="J37" s="13" t="s">
        <v>7</v>
      </c>
      <c r="K37" s="13">
        <f>+K36*M35/1000</f>
        <v>5528.2366315262661</v>
      </c>
      <c r="L37" s="13" t="s">
        <v>8</v>
      </c>
      <c r="M37" s="13" t="s">
        <v>87</v>
      </c>
    </row>
    <row r="38" spans="1:25" ht="18" x14ac:dyDescent="0.35">
      <c r="A38" s="142" t="s">
        <v>129</v>
      </c>
      <c r="B38" s="137"/>
      <c r="C38" s="143" t="str">
        <f>+IF(B166&lt;1,"OK","NG")</f>
        <v>OK</v>
      </c>
      <c r="D38" s="137"/>
      <c r="E38" s="137"/>
      <c r="F38" s="137"/>
      <c r="G38" s="137"/>
      <c r="H38" s="137"/>
      <c r="I38" s="138"/>
      <c r="J38" s="13" t="s">
        <v>12</v>
      </c>
      <c r="K38" s="13">
        <f>+K37*0.75</f>
        <v>4146.1774736446996</v>
      </c>
      <c r="L38" s="13" t="s">
        <v>8</v>
      </c>
    </row>
    <row r="39" spans="1:25" ht="18" x14ac:dyDescent="0.35">
      <c r="A39" s="151" t="s">
        <v>106</v>
      </c>
      <c r="B39" s="134"/>
      <c r="C39" s="134"/>
      <c r="D39" s="134"/>
      <c r="E39" s="134"/>
      <c r="F39" s="134"/>
      <c r="G39" s="134"/>
      <c r="H39" s="134"/>
      <c r="I39" s="135"/>
      <c r="J39" s="13" t="s">
        <v>57</v>
      </c>
      <c r="K39" s="13">
        <f>C7*C14-C7*3.1415/4*M34/12*M34/12*C21/12*0.15</f>
        <v>47.038309166666664</v>
      </c>
      <c r="L39" s="13" t="s">
        <v>8</v>
      </c>
      <c r="M39" s="13" t="s">
        <v>344</v>
      </c>
    </row>
    <row r="40" spans="1:25" ht="19.5" x14ac:dyDescent="0.35">
      <c r="A40" s="152" t="s">
        <v>107</v>
      </c>
      <c r="B40" s="134"/>
      <c r="C40" s="134"/>
      <c r="D40" s="134"/>
      <c r="E40" s="134"/>
      <c r="F40" s="134"/>
      <c r="G40" s="134"/>
      <c r="H40" s="134"/>
      <c r="I40" s="135"/>
      <c r="J40" s="13" t="s">
        <v>14</v>
      </c>
      <c r="K40" s="13">
        <f>+K39/K38</f>
        <v>1.1344982086673104E-2</v>
      </c>
    </row>
    <row r="41" spans="1:25" ht="18" x14ac:dyDescent="0.35">
      <c r="A41" s="14"/>
      <c r="B41" s="59" t="s">
        <v>22</v>
      </c>
      <c r="C41" s="60">
        <f>C7*7*C14-C7*C22*C23*C21/12*0.15</f>
        <v>581.92164800000012</v>
      </c>
      <c r="D41" s="39" t="s">
        <v>18</v>
      </c>
      <c r="E41" s="134" t="s">
        <v>381</v>
      </c>
      <c r="F41" s="134"/>
      <c r="G41" s="134"/>
      <c r="H41" s="134"/>
      <c r="I41" s="135"/>
    </row>
    <row r="42" spans="1:25" x14ac:dyDescent="0.25">
      <c r="A42" s="14"/>
      <c r="B42" s="59" t="s">
        <v>405</v>
      </c>
      <c r="C42" s="61">
        <f>+(C41/3.14159)^0.5</f>
        <v>13.60998052905212</v>
      </c>
      <c r="D42" s="39" t="s">
        <v>0</v>
      </c>
      <c r="E42" s="134"/>
      <c r="F42" s="134"/>
      <c r="G42" s="134"/>
      <c r="H42" s="134"/>
      <c r="I42" s="135"/>
    </row>
    <row r="43" spans="1:25" x14ac:dyDescent="0.25">
      <c r="A43" s="14"/>
      <c r="B43" s="59" t="s">
        <v>23</v>
      </c>
      <c r="C43" s="41">
        <f>MAX(ROUNDUP(C42,0),10)</f>
        <v>14</v>
      </c>
      <c r="D43" s="39" t="s">
        <v>0</v>
      </c>
      <c r="E43" s="133" t="s">
        <v>225</v>
      </c>
      <c r="F43" s="134"/>
      <c r="G43" s="134"/>
      <c r="H43" s="134"/>
      <c r="I43" s="135"/>
    </row>
    <row r="44" spans="1:25" x14ac:dyDescent="0.25">
      <c r="A44" s="142"/>
      <c r="B44" s="137"/>
      <c r="C44" s="137"/>
      <c r="D44" s="137"/>
      <c r="E44" s="137"/>
      <c r="F44" s="137"/>
      <c r="G44" s="137"/>
      <c r="H44" s="137"/>
      <c r="I44" s="48" t="s">
        <v>422</v>
      </c>
    </row>
    <row r="45" spans="1:25" ht="18.75" x14ac:dyDescent="0.3">
      <c r="A45" s="153" t="s">
        <v>24</v>
      </c>
      <c r="B45" s="144"/>
      <c r="C45" s="144"/>
      <c r="D45" s="144"/>
      <c r="E45" s="144"/>
      <c r="F45" s="144"/>
      <c r="G45" s="144"/>
      <c r="H45" s="144"/>
      <c r="I45" s="145"/>
    </row>
    <row r="46" spans="1:25" ht="18" x14ac:dyDescent="0.35">
      <c r="A46" s="14"/>
      <c r="B46" s="36" t="s">
        <v>25</v>
      </c>
      <c r="C46" s="60">
        <f>C7*C14*(2*(0.8661*C18*12+C12-C43/4))-C7*(C23/2-C43/12/4)*C22*C21/12*0.15*(C23/2-C43/12/4)*12/2</f>
        <v>10298.946053990399</v>
      </c>
      <c r="D46" s="39" t="s">
        <v>26</v>
      </c>
      <c r="E46" s="134" t="s">
        <v>117</v>
      </c>
      <c r="F46" s="134"/>
      <c r="G46" s="134"/>
      <c r="H46" s="134"/>
      <c r="I46" s="135"/>
    </row>
    <row r="47" spans="1:25" ht="18" x14ac:dyDescent="0.35">
      <c r="A47" s="14"/>
      <c r="B47" s="36" t="s">
        <v>25</v>
      </c>
      <c r="C47" s="68">
        <f>+C46/C22</f>
        <v>710.27214165451028</v>
      </c>
      <c r="D47" s="39" t="s">
        <v>27</v>
      </c>
      <c r="E47" s="134" t="s">
        <v>28</v>
      </c>
      <c r="F47" s="134"/>
      <c r="G47" s="134"/>
      <c r="H47" s="134"/>
      <c r="I47" s="135"/>
    </row>
    <row r="48" spans="1:25" x14ac:dyDescent="0.25">
      <c r="A48" s="14"/>
      <c r="B48" s="36" t="s">
        <v>1</v>
      </c>
      <c r="C48" s="61">
        <f>+C21-C15-C16-P21-0.5*L21</f>
        <v>72.460499999999996</v>
      </c>
      <c r="D48" s="39" t="s">
        <v>0</v>
      </c>
      <c r="E48" s="134"/>
      <c r="F48" s="134"/>
      <c r="G48" s="134"/>
      <c r="H48" s="134"/>
      <c r="I48" s="135"/>
    </row>
    <row r="49" spans="1:9" ht="18.75" x14ac:dyDescent="0.35">
      <c r="A49" s="1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0.2033605235665803</v>
      </c>
      <c r="D49" s="39" t="s">
        <v>29</v>
      </c>
      <c r="E49" s="134"/>
      <c r="F49" s="134"/>
      <c r="G49" s="134"/>
      <c r="H49" s="134"/>
      <c r="I49" s="135"/>
    </row>
    <row r="50" spans="1:9" ht="18.75" x14ac:dyDescent="0.35">
      <c r="A50" s="14"/>
      <c r="B50" s="36" t="s">
        <v>38</v>
      </c>
      <c r="C50" s="61">
        <f>+C49*C22</f>
        <v>2.9487275917154143</v>
      </c>
      <c r="D50" s="39" t="s">
        <v>34</v>
      </c>
      <c r="E50" s="134"/>
      <c r="F50" s="134"/>
      <c r="G50" s="134"/>
      <c r="H50" s="134"/>
      <c r="I50" s="135"/>
    </row>
    <row r="51" spans="1:9" ht="18.75" x14ac:dyDescent="0.35">
      <c r="A51" s="14"/>
      <c r="B51" s="36" t="s">
        <v>42</v>
      </c>
      <c r="C51" s="61">
        <f>+C50*4/3</f>
        <v>3.9316367889538859</v>
      </c>
      <c r="D51" s="39" t="s">
        <v>34</v>
      </c>
      <c r="E51" s="134"/>
      <c r="F51" s="134"/>
      <c r="G51" s="134"/>
      <c r="H51" s="134"/>
      <c r="I51" s="135"/>
    </row>
    <row r="52" spans="1:9" ht="18.75" x14ac:dyDescent="0.35">
      <c r="A52" s="14"/>
      <c r="B52" s="36" t="s">
        <v>420</v>
      </c>
      <c r="C52" s="61">
        <f>3*(C10*1000)^0.5*C22*12*C48/C11/1000</f>
        <v>39.870398348665759</v>
      </c>
      <c r="D52" s="39" t="s">
        <v>34</v>
      </c>
      <c r="E52" s="134"/>
      <c r="F52" s="134"/>
      <c r="G52" s="134"/>
      <c r="H52" s="134"/>
      <c r="I52" s="135"/>
    </row>
    <row r="53" spans="1:9" ht="18.75" x14ac:dyDescent="0.35">
      <c r="A53" s="14"/>
      <c r="B53" s="36" t="s">
        <v>421</v>
      </c>
      <c r="C53" s="61">
        <f>200*C22*12*C48/C11/1000</f>
        <v>42.027089999999994</v>
      </c>
      <c r="D53" s="39" t="s">
        <v>34</v>
      </c>
      <c r="E53" s="134"/>
      <c r="F53" s="134"/>
      <c r="G53" s="134"/>
      <c r="H53" s="134"/>
      <c r="I53" s="135"/>
    </row>
    <row r="54" spans="1:9" ht="18" x14ac:dyDescent="0.35">
      <c r="A54" s="14"/>
      <c r="B54" s="36" t="s">
        <v>43</v>
      </c>
      <c r="C54" s="61">
        <f>+MAX(C52:C53)</f>
        <v>42.027089999999994</v>
      </c>
      <c r="D54" s="39" t="s">
        <v>407</v>
      </c>
      <c r="E54" s="134"/>
      <c r="F54" s="134"/>
      <c r="G54" s="134"/>
      <c r="H54" s="134"/>
      <c r="I54" s="135"/>
    </row>
    <row r="55" spans="1:9" ht="18.75" x14ac:dyDescent="0.35">
      <c r="A55" s="14"/>
      <c r="B55" s="36" t="s">
        <v>408</v>
      </c>
      <c r="C55" s="61">
        <f>+IF(C11=60,0.0018*C22*12*C21,0.002*C22*12*C21)</f>
        <v>26.308799999999998</v>
      </c>
      <c r="D55" s="39" t="s">
        <v>34</v>
      </c>
      <c r="E55" s="134"/>
      <c r="F55" s="134"/>
      <c r="G55" s="134"/>
      <c r="H55" s="134"/>
      <c r="I55" s="135"/>
    </row>
    <row r="56" spans="1:9" ht="18.75" x14ac:dyDescent="0.35">
      <c r="A56" s="14"/>
      <c r="B56" s="36" t="s">
        <v>40</v>
      </c>
      <c r="C56" s="63">
        <f>+IF(C50&gt;C54,C50,IF(C51&gt;C54,C54,IF(C51&gt;C55,C51,C55)))</f>
        <v>26.308799999999998</v>
      </c>
      <c r="D56" s="39" t="s">
        <v>34</v>
      </c>
      <c r="E56" s="134"/>
      <c r="F56" s="134"/>
      <c r="G56" s="134"/>
      <c r="H56" s="134"/>
      <c r="I56" s="135"/>
    </row>
    <row r="57" spans="1:9" x14ac:dyDescent="0.25">
      <c r="A57" s="146" t="s">
        <v>41</v>
      </c>
      <c r="B57" s="134"/>
      <c r="C57" s="134"/>
      <c r="D57" s="37"/>
      <c r="E57" s="134"/>
      <c r="F57" s="134"/>
      <c r="G57" s="134"/>
      <c r="H57" s="134"/>
      <c r="I57" s="135"/>
    </row>
    <row r="58" spans="1:9" x14ac:dyDescent="0.25">
      <c r="A58" s="147"/>
      <c r="B58" s="65" t="s">
        <v>44</v>
      </c>
      <c r="C58" s="43">
        <f>+C22/C23</f>
        <v>1.1246238327180218</v>
      </c>
      <c r="D58" s="39"/>
      <c r="E58" s="134"/>
      <c r="F58" s="134"/>
      <c r="G58" s="134"/>
      <c r="H58" s="134"/>
      <c r="I58" s="135"/>
    </row>
    <row r="59" spans="1:9" ht="18" x14ac:dyDescent="0.35">
      <c r="A59" s="147"/>
      <c r="B59" s="65" t="s">
        <v>46</v>
      </c>
      <c r="C59" s="61">
        <f>2/(C58+1)</f>
        <v>0.94134310704846458</v>
      </c>
      <c r="D59" s="39"/>
      <c r="E59" s="134" t="s">
        <v>118</v>
      </c>
      <c r="F59" s="134"/>
      <c r="G59" s="134"/>
      <c r="H59" s="134"/>
      <c r="I59" s="135"/>
    </row>
    <row r="60" spans="1:9" ht="18.75" x14ac:dyDescent="0.35">
      <c r="A60" s="14"/>
      <c r="B60" s="36" t="s">
        <v>45</v>
      </c>
      <c r="C60" s="61">
        <f>+C50*C58*C59</f>
        <v>3.1216907904059039</v>
      </c>
      <c r="D60" s="39" t="s">
        <v>34</v>
      </c>
      <c r="E60" s="134"/>
      <c r="F60" s="134"/>
      <c r="G60" s="134"/>
      <c r="H60" s="134"/>
      <c r="I60" s="135"/>
    </row>
    <row r="61" spans="1:9" ht="18.75" x14ac:dyDescent="0.35">
      <c r="A61" s="14"/>
      <c r="B61" s="36" t="s">
        <v>40</v>
      </c>
      <c r="C61" s="61">
        <f>+MAX(C60,C56)</f>
        <v>26.308799999999998</v>
      </c>
      <c r="D61" s="39" t="s">
        <v>34</v>
      </c>
      <c r="E61" s="134"/>
      <c r="F61" s="134"/>
      <c r="G61" s="134"/>
      <c r="H61" s="134"/>
      <c r="I61" s="135"/>
    </row>
    <row r="62" spans="1:9" x14ac:dyDescent="0.25">
      <c r="A62" s="14"/>
      <c r="B62" s="36" t="s">
        <v>409</v>
      </c>
      <c r="C62" s="44">
        <f>+C19-C12</f>
        <v>12</v>
      </c>
      <c r="D62" s="39" t="s">
        <v>0</v>
      </c>
      <c r="E62" s="134" t="s">
        <v>51</v>
      </c>
      <c r="F62" s="134"/>
      <c r="G62" s="134"/>
      <c r="H62" s="134"/>
      <c r="I62" s="135"/>
    </row>
    <row r="63" spans="1:9" ht="18" x14ac:dyDescent="0.35">
      <c r="A63" s="14"/>
      <c r="B63" s="36" t="s">
        <v>50</v>
      </c>
      <c r="C63" s="44">
        <v>1</v>
      </c>
      <c r="D63" s="39"/>
      <c r="E63" s="134" t="s">
        <v>49</v>
      </c>
      <c r="F63" s="134"/>
      <c r="G63" s="134"/>
      <c r="H63" s="134"/>
      <c r="I63" s="135"/>
    </row>
    <row r="64" spans="1:9" ht="18" x14ac:dyDescent="0.35">
      <c r="A64" s="14"/>
      <c r="B64" s="36" t="s">
        <v>47</v>
      </c>
      <c r="C64" s="61">
        <f>0.02*C63*C11*1000/(C10*1000)^0.5*L21*0.7</f>
        <v>22.485691530393279</v>
      </c>
      <c r="D64" s="39" t="s">
        <v>0</v>
      </c>
      <c r="E64" s="134" t="str">
        <f>+IF(C64&gt;C62,"NG; insufficient length available to develop hook","OK; sufficient length available to develop hook")</f>
        <v>NG; insufficient length available to develop hook</v>
      </c>
      <c r="F64" s="134"/>
      <c r="G64" s="134"/>
      <c r="H64" s="134"/>
      <c r="I64" s="135"/>
    </row>
    <row r="65" spans="1:10" x14ac:dyDescent="0.25">
      <c r="A65" s="14"/>
      <c r="B65" s="36" t="s">
        <v>410</v>
      </c>
      <c r="C65" s="66">
        <f>+C61/L22</f>
        <v>11.687188547702981</v>
      </c>
      <c r="D65" s="39"/>
      <c r="E65" s="134"/>
      <c r="F65" s="134"/>
      <c r="G65" s="134"/>
      <c r="H65" s="134"/>
      <c r="I65" s="135"/>
    </row>
    <row r="66" spans="1:10" x14ac:dyDescent="0.25">
      <c r="A66" s="14"/>
      <c r="B66" s="36" t="s">
        <v>411</v>
      </c>
      <c r="C66" s="84">
        <v>11</v>
      </c>
      <c r="D66" s="39"/>
      <c r="E66" s="134"/>
      <c r="F66" s="134"/>
      <c r="G66" s="134"/>
      <c r="H66" s="134"/>
      <c r="I66" s="135"/>
    </row>
    <row r="67" spans="1:10" x14ac:dyDescent="0.25">
      <c r="A67" s="14"/>
      <c r="B67" s="134"/>
      <c r="C67" s="134"/>
      <c r="D67" s="134"/>
      <c r="E67" s="134"/>
      <c r="F67" s="134"/>
      <c r="G67" s="134"/>
      <c r="H67" s="134"/>
      <c r="I67" s="135"/>
    </row>
    <row r="68" spans="1:10" ht="18.75" x14ac:dyDescent="0.3">
      <c r="A68" s="152" t="s">
        <v>48</v>
      </c>
      <c r="B68" s="134"/>
      <c r="C68" s="134"/>
      <c r="D68" s="134"/>
      <c r="E68" s="134"/>
      <c r="F68" s="134"/>
      <c r="G68" s="134"/>
      <c r="H68" s="134"/>
      <c r="I68" s="135"/>
    </row>
    <row r="69" spans="1:10" ht="18" x14ac:dyDescent="0.35">
      <c r="A69" s="14"/>
      <c r="B69" s="36" t="s">
        <v>25</v>
      </c>
      <c r="C69" s="60">
        <f>C7*C14*(2*(0.5*C18*12+C12-C43/4))+C7*C14*(1*(1*C18*12+C12-C43/4))-C7*(C22/2-C43/12/4)*C23*C21/12*0.15*(C22/2-C43/12/4)*12/2</f>
        <v>11947.377041</v>
      </c>
      <c r="D69" s="39" t="s">
        <v>26</v>
      </c>
      <c r="E69" s="134" t="s">
        <v>117</v>
      </c>
      <c r="F69" s="134"/>
      <c r="G69" s="134"/>
      <c r="H69" s="134"/>
      <c r="I69" s="135"/>
    </row>
    <row r="70" spans="1:10" ht="18" x14ac:dyDescent="0.35">
      <c r="A70" s="14"/>
      <c r="B70" s="36" t="s">
        <v>25</v>
      </c>
      <c r="C70" s="68">
        <f>+C69/C23</f>
        <v>926.64172129494614</v>
      </c>
      <c r="D70" s="39" t="s">
        <v>27</v>
      </c>
      <c r="E70" s="134" t="s">
        <v>28</v>
      </c>
      <c r="F70" s="134"/>
      <c r="G70" s="134"/>
      <c r="H70" s="134"/>
      <c r="I70" s="135"/>
    </row>
    <row r="71" spans="1:10" x14ac:dyDescent="0.25">
      <c r="A71" s="14"/>
      <c r="B71" s="36" t="s">
        <v>1</v>
      </c>
      <c r="C71" s="44">
        <f>+C21-C15-C16-P21/2</f>
        <v>74.153499999999994</v>
      </c>
      <c r="D71" s="39" t="s">
        <v>0</v>
      </c>
      <c r="E71" s="134"/>
      <c r="F71" s="134"/>
      <c r="G71" s="134"/>
      <c r="H71" s="134"/>
      <c r="I71" s="135"/>
    </row>
    <row r="72" spans="1:10" ht="18.75" x14ac:dyDescent="0.35">
      <c r="A72" s="1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0.25399799644269194</v>
      </c>
      <c r="D72" s="39" t="s">
        <v>29</v>
      </c>
      <c r="E72" s="134"/>
      <c r="F72" s="134"/>
      <c r="G72" s="134"/>
      <c r="H72" s="134"/>
      <c r="I72" s="135"/>
    </row>
    <row r="73" spans="1:10" ht="18.75" x14ac:dyDescent="0.35">
      <c r="A73" s="14"/>
      <c r="B73" s="36" t="s">
        <v>38</v>
      </c>
      <c r="C73" s="61">
        <f>+C72*C23</f>
        <v>3.2748469677349159</v>
      </c>
      <c r="D73" s="39" t="s">
        <v>34</v>
      </c>
      <c r="E73" s="134"/>
      <c r="F73" s="134"/>
      <c r="G73" s="134"/>
      <c r="H73" s="134"/>
      <c r="I73" s="135"/>
    </row>
    <row r="74" spans="1:10" ht="18.75" x14ac:dyDescent="0.35">
      <c r="A74" s="14"/>
      <c r="B74" s="36" t="s">
        <v>42</v>
      </c>
      <c r="C74" s="61">
        <f>+C73*4/3</f>
        <v>4.3664626236465542</v>
      </c>
      <c r="D74" s="39" t="s">
        <v>34</v>
      </c>
      <c r="E74" s="134"/>
      <c r="F74" s="134"/>
      <c r="G74" s="134"/>
      <c r="H74" s="134"/>
      <c r="I74" s="135"/>
    </row>
    <row r="75" spans="1:10" ht="18.75" x14ac:dyDescent="0.35">
      <c r="A75" s="14"/>
      <c r="B75" s="36" t="s">
        <v>420</v>
      </c>
      <c r="C75" s="61">
        <f>3*(C10*1000)^0.5*C23*12*C71/C11/1000</f>
        <v>36.280529755217984</v>
      </c>
      <c r="D75" s="39" t="s">
        <v>34</v>
      </c>
      <c r="E75" s="134"/>
      <c r="F75" s="134"/>
      <c r="G75" s="134"/>
      <c r="H75" s="134"/>
      <c r="I75" s="135"/>
    </row>
    <row r="76" spans="1:10" ht="18.75" x14ac:dyDescent="0.35">
      <c r="A76" s="14"/>
      <c r="B76" s="36" t="s">
        <v>421</v>
      </c>
      <c r="C76" s="61">
        <f>200*C23*12*C71/C11/1000</f>
        <v>38.243036247999996</v>
      </c>
      <c r="D76" s="39" t="s">
        <v>34</v>
      </c>
      <c r="E76" s="134"/>
      <c r="F76" s="134"/>
      <c r="G76" s="134"/>
      <c r="H76" s="134"/>
      <c r="I76" s="135"/>
    </row>
    <row r="77" spans="1:10" ht="18.75" x14ac:dyDescent="0.35">
      <c r="A77" s="14"/>
      <c r="B77" s="36" t="s">
        <v>43</v>
      </c>
      <c r="C77" s="61">
        <f>+MAX(C75:C76)</f>
        <v>38.243036247999996</v>
      </c>
      <c r="D77" s="39" t="s">
        <v>34</v>
      </c>
      <c r="E77" s="134"/>
      <c r="F77" s="134"/>
      <c r="G77" s="134"/>
      <c r="H77" s="134"/>
      <c r="I77" s="135"/>
      <c r="J77" s="13" t="s">
        <v>228</v>
      </c>
    </row>
    <row r="78" spans="1:10" ht="18.75" x14ac:dyDescent="0.35">
      <c r="A78" s="14"/>
      <c r="B78" s="36" t="s">
        <v>408</v>
      </c>
      <c r="C78" s="61">
        <f>+IF(C11=60,0.0018*C23*12*C21,0.002*C23*12*C21)</f>
        <v>23.393422080000004</v>
      </c>
      <c r="D78" s="39" t="s">
        <v>34</v>
      </c>
      <c r="E78" s="134"/>
      <c r="F78" s="134"/>
      <c r="G78" s="134"/>
      <c r="H78" s="134"/>
      <c r="I78" s="135"/>
      <c r="J78" s="13" t="s">
        <v>229</v>
      </c>
    </row>
    <row r="79" spans="1:10" ht="18.75" x14ac:dyDescent="0.35">
      <c r="A79" s="14"/>
      <c r="B79" s="36" t="s">
        <v>40</v>
      </c>
      <c r="C79" s="61">
        <f>+IF(C73&gt;C77,C73,IF(C74&gt;C77,C77,IF(C74&gt;C78,C74,C78)))</f>
        <v>23.393422080000004</v>
      </c>
      <c r="D79" s="39" t="s">
        <v>34</v>
      </c>
      <c r="E79" s="134"/>
      <c r="F79" s="134"/>
      <c r="G79" s="134"/>
      <c r="H79" s="134"/>
      <c r="I79" s="135"/>
    </row>
    <row r="80" spans="1:10" x14ac:dyDescent="0.25">
      <c r="A80" s="14"/>
      <c r="B80" s="36" t="s">
        <v>409</v>
      </c>
      <c r="C80" s="68">
        <f>+C19-C12</f>
        <v>12</v>
      </c>
      <c r="D80" s="39" t="s">
        <v>0</v>
      </c>
      <c r="E80" s="134" t="s">
        <v>51</v>
      </c>
      <c r="F80" s="134"/>
      <c r="G80" s="134"/>
      <c r="H80" s="134"/>
      <c r="I80" s="135"/>
    </row>
    <row r="81" spans="1:17" ht="18" x14ac:dyDescent="0.35">
      <c r="A81" s="14"/>
      <c r="B81" s="36" t="s">
        <v>50</v>
      </c>
      <c r="C81" s="44">
        <v>1</v>
      </c>
      <c r="D81" s="39"/>
      <c r="E81" s="134" t="s">
        <v>49</v>
      </c>
      <c r="F81" s="134"/>
      <c r="G81" s="134"/>
      <c r="H81" s="134"/>
      <c r="I81" s="135"/>
    </row>
    <row r="82" spans="1:17" ht="18" x14ac:dyDescent="0.35">
      <c r="A82" s="14"/>
      <c r="B82" s="36" t="s">
        <v>47</v>
      </c>
      <c r="C82" s="61">
        <f>0.02*C63*C11*1000/(C10*1000)^0.5*P21*0.7</f>
        <v>22.485691530393279</v>
      </c>
      <c r="D82" s="39" t="s">
        <v>0</v>
      </c>
      <c r="E82" s="134" t="str">
        <f>+IF(C82&gt;C80,"NG; insufficient length available to develop hook","OK; sufficient length available to develop hook")</f>
        <v>NG; insufficient length available to develop hook</v>
      </c>
      <c r="F82" s="134"/>
      <c r="G82" s="134"/>
      <c r="H82" s="134"/>
      <c r="I82" s="135"/>
    </row>
    <row r="83" spans="1:17" x14ac:dyDescent="0.25">
      <c r="A83" s="14"/>
      <c r="B83" s="36" t="s">
        <v>451</v>
      </c>
      <c r="C83" s="69">
        <f>+C79/P22</f>
        <v>10.392086854016835</v>
      </c>
      <c r="D83" s="39"/>
      <c r="E83" s="134"/>
      <c r="F83" s="134"/>
      <c r="G83" s="134"/>
      <c r="H83" s="134"/>
      <c r="I83" s="135"/>
    </row>
    <row r="84" spans="1:17" x14ac:dyDescent="0.25">
      <c r="A84" s="14"/>
      <c r="B84" s="36" t="s">
        <v>412</v>
      </c>
      <c r="C84" s="84">
        <v>11</v>
      </c>
      <c r="D84" s="39"/>
      <c r="E84" s="134"/>
      <c r="F84" s="134"/>
      <c r="G84" s="134"/>
      <c r="H84" s="134"/>
      <c r="I84" s="135"/>
    </row>
    <row r="85" spans="1:17" x14ac:dyDescent="0.25">
      <c r="A85" s="142"/>
      <c r="B85" s="137"/>
      <c r="C85" s="137"/>
      <c r="D85" s="137"/>
      <c r="E85" s="137"/>
      <c r="F85" s="137"/>
      <c r="G85" s="137"/>
      <c r="H85" s="137"/>
      <c r="I85" s="48" t="s">
        <v>422</v>
      </c>
    </row>
    <row r="86" spans="1:17" ht="18.75" x14ac:dyDescent="0.3">
      <c r="A86" s="153" t="s">
        <v>80</v>
      </c>
      <c r="B86" s="144"/>
      <c r="C86" s="144"/>
      <c r="D86" s="144"/>
      <c r="E86" s="144"/>
      <c r="F86" s="144"/>
      <c r="G86" s="144"/>
      <c r="H86" s="144"/>
      <c r="I86" s="145"/>
      <c r="J86" s="13" t="s">
        <v>54</v>
      </c>
      <c r="K86" s="141"/>
      <c r="M86" s="141">
        <f>+B87/2+C43/2</f>
        <v>44</v>
      </c>
      <c r="N86" s="13" t="s">
        <v>0</v>
      </c>
      <c r="O86" s="141"/>
      <c r="P86" s="141"/>
    </row>
    <row r="87" spans="1:17" x14ac:dyDescent="0.25">
      <c r="A87" s="154" t="s">
        <v>1</v>
      </c>
      <c r="B87" s="43">
        <f>+C21-C15-C16-1</f>
        <v>74</v>
      </c>
      <c r="C87" s="39" t="s">
        <v>0</v>
      </c>
      <c r="D87" s="134"/>
      <c r="E87" s="134"/>
      <c r="F87" s="134"/>
      <c r="G87" s="148"/>
      <c r="H87" s="134"/>
      <c r="I87" s="135"/>
      <c r="J87" s="13" t="s">
        <v>226</v>
      </c>
      <c r="K87" s="141"/>
      <c r="L87" s="141"/>
      <c r="M87" s="141"/>
      <c r="N87" s="141"/>
      <c r="O87" s="141">
        <f>+C18*12+C12</f>
        <v>75</v>
      </c>
      <c r="P87" s="13" t="s">
        <v>0</v>
      </c>
      <c r="Q87" s="13" t="s">
        <v>119</v>
      </c>
    </row>
    <row r="88" spans="1:17" x14ac:dyDescent="0.25">
      <c r="A88" s="154" t="s">
        <v>53</v>
      </c>
      <c r="B88" s="63">
        <f>+B87/2</f>
        <v>37</v>
      </c>
      <c r="C88" s="39" t="s">
        <v>0</v>
      </c>
      <c r="D88" s="134"/>
      <c r="E88" s="134"/>
      <c r="F88" s="134"/>
      <c r="G88" s="148"/>
      <c r="H88" s="134"/>
      <c r="I88" s="135"/>
      <c r="K88" s="141"/>
      <c r="L88" s="141"/>
      <c r="M88" s="141"/>
      <c r="N88" s="141"/>
      <c r="O88" s="141"/>
    </row>
    <row r="89" spans="1:17" x14ac:dyDescent="0.25">
      <c r="A89" s="155"/>
      <c r="B89" s="70"/>
      <c r="C89" s="70"/>
      <c r="D89" s="71" t="s">
        <v>413</v>
      </c>
      <c r="E89" s="156">
        <f>+IF(M86&gt;O87,0,6)</f>
        <v>6</v>
      </c>
      <c r="F89" s="134"/>
      <c r="G89" s="134"/>
      <c r="H89" s="134"/>
      <c r="I89" s="135"/>
    </row>
    <row r="90" spans="1:17" ht="18.75" x14ac:dyDescent="0.35">
      <c r="A90" s="154" t="s">
        <v>3</v>
      </c>
      <c r="B90" s="60">
        <f>4*(C10*1000)^0.5</f>
        <v>252.98221281347034</v>
      </c>
      <c r="C90" s="39" t="s">
        <v>5</v>
      </c>
      <c r="D90" s="134"/>
      <c r="E90" s="134"/>
      <c r="F90" s="134"/>
      <c r="G90" s="134"/>
      <c r="H90" s="134"/>
      <c r="I90" s="135"/>
    </row>
    <row r="91" spans="1:17" ht="18" x14ac:dyDescent="0.35">
      <c r="A91" s="154" t="s">
        <v>11</v>
      </c>
      <c r="B91" s="68">
        <f>3.14159*(B87+C43)</f>
        <v>276.45992000000001</v>
      </c>
      <c r="C91" s="39" t="s">
        <v>0</v>
      </c>
      <c r="D91" s="134"/>
      <c r="E91" s="134"/>
      <c r="F91" s="134"/>
      <c r="G91" s="134"/>
      <c r="H91" s="134"/>
      <c r="I91" s="135"/>
      <c r="L91" s="13" t="s">
        <v>83</v>
      </c>
      <c r="O91" s="13">
        <f>+B90</f>
        <v>252.98221281347034</v>
      </c>
      <c r="P91" s="13" t="s">
        <v>5</v>
      </c>
    </row>
    <row r="92" spans="1:17" ht="18.75" x14ac:dyDescent="0.35">
      <c r="A92" s="154" t="s">
        <v>7</v>
      </c>
      <c r="B92" s="68">
        <f>+B90*B91*B87/1000</f>
        <v>5175.5187313717879</v>
      </c>
      <c r="C92" s="39" t="s">
        <v>18</v>
      </c>
      <c r="D92" s="134" t="s">
        <v>15</v>
      </c>
      <c r="E92" s="134"/>
      <c r="F92" s="134"/>
      <c r="G92" s="134"/>
      <c r="H92" s="134"/>
      <c r="I92" s="135"/>
    </row>
    <row r="93" spans="1:17" ht="18" x14ac:dyDescent="0.35">
      <c r="A93" s="154" t="s">
        <v>12</v>
      </c>
      <c r="B93" s="68">
        <f>+B92*0.75</f>
        <v>3881.6390485288412</v>
      </c>
      <c r="C93" s="39" t="s">
        <v>18</v>
      </c>
      <c r="D93" s="134"/>
      <c r="E93" s="134"/>
      <c r="F93" s="134"/>
      <c r="G93" s="134"/>
      <c r="H93" s="134"/>
      <c r="I93" s="135"/>
    </row>
    <row r="94" spans="1:17" ht="18" x14ac:dyDescent="0.35">
      <c r="A94" s="154" t="s">
        <v>57</v>
      </c>
      <c r="B94" s="68">
        <f>+E89*C7*C14-C7*0.15*C22*C23*C21/12+C7*0.15*(3.1415*M86^2)/144*C21/12</f>
        <v>524.87766133333344</v>
      </c>
      <c r="C94" s="39" t="s">
        <v>18</v>
      </c>
      <c r="D94" s="134" t="s">
        <v>131</v>
      </c>
      <c r="E94" s="134"/>
      <c r="F94" s="134"/>
      <c r="G94" s="134"/>
      <c r="H94" s="134"/>
      <c r="I94" s="135"/>
    </row>
    <row r="95" spans="1:17" ht="18" x14ac:dyDescent="0.35">
      <c r="A95" s="154" t="s">
        <v>14</v>
      </c>
      <c r="B95" s="63">
        <f>+B94/B93</f>
        <v>0.13522062581585592</v>
      </c>
      <c r="C95" s="39"/>
      <c r="D95" s="134"/>
      <c r="E95" s="134"/>
      <c r="F95" s="134"/>
      <c r="G95" s="134"/>
      <c r="H95" s="134"/>
      <c r="I95" s="135"/>
    </row>
    <row r="96" spans="1:17" x14ac:dyDescent="0.25">
      <c r="A96" s="14"/>
      <c r="B96" s="134"/>
      <c r="C96" s="134"/>
      <c r="D96" s="134"/>
      <c r="E96" s="134"/>
      <c r="F96" s="134"/>
      <c r="G96" s="134"/>
      <c r="H96" s="134"/>
      <c r="I96" s="135"/>
    </row>
    <row r="97" spans="1:17" ht="18.75" x14ac:dyDescent="0.3">
      <c r="A97" s="152" t="s">
        <v>120</v>
      </c>
      <c r="B97" s="134"/>
      <c r="C97" s="134"/>
      <c r="D97" s="134"/>
      <c r="E97" s="134"/>
      <c r="F97" s="134"/>
      <c r="G97" s="134"/>
      <c r="H97" s="134"/>
      <c r="I97" s="135"/>
    </row>
    <row r="98" spans="1:17" ht="18.75" x14ac:dyDescent="0.3">
      <c r="A98" s="152" t="s">
        <v>121</v>
      </c>
      <c r="B98" s="134"/>
      <c r="C98" s="134"/>
      <c r="D98" s="134"/>
      <c r="E98" s="134"/>
      <c r="F98" s="134"/>
      <c r="G98" s="134"/>
      <c r="H98" s="134"/>
      <c r="I98" s="135"/>
      <c r="J98" s="13" t="s">
        <v>58</v>
      </c>
      <c r="K98" s="141"/>
      <c r="M98" s="141">
        <f>+C43/2+B99</f>
        <v>81</v>
      </c>
      <c r="N98" s="13" t="s">
        <v>0</v>
      </c>
      <c r="O98" s="141"/>
    </row>
    <row r="99" spans="1:17" x14ac:dyDescent="0.25">
      <c r="A99" s="154" t="s">
        <v>1</v>
      </c>
      <c r="B99" s="80">
        <f>+B87</f>
        <v>74</v>
      </c>
      <c r="C99" s="39" t="s">
        <v>0</v>
      </c>
      <c r="D99" s="134"/>
      <c r="E99" s="134"/>
      <c r="F99" s="134"/>
      <c r="G99" s="134"/>
      <c r="H99" s="134"/>
      <c r="I99" s="135"/>
      <c r="J99" s="13" t="s">
        <v>222</v>
      </c>
      <c r="K99" s="141"/>
      <c r="L99" s="141"/>
      <c r="M99" s="141"/>
      <c r="N99" s="141"/>
      <c r="O99" s="141">
        <f>0.5*C18*12+C12</f>
        <v>39</v>
      </c>
      <c r="P99" s="13" t="s">
        <v>0</v>
      </c>
      <c r="Q99" s="13" t="s">
        <v>119</v>
      </c>
    </row>
    <row r="100" spans="1:17" x14ac:dyDescent="0.25">
      <c r="A100" s="154"/>
      <c r="B100" s="70"/>
      <c r="C100" s="70"/>
      <c r="D100" s="59" t="s">
        <v>414</v>
      </c>
      <c r="E100" s="156">
        <f>+IF(M98&gt;O100,0,IF(M98&gt;O99,1,3))</f>
        <v>0</v>
      </c>
      <c r="F100" s="134"/>
      <c r="G100" s="134"/>
      <c r="H100" s="134"/>
      <c r="I100" s="135"/>
      <c r="J100" s="13" t="s">
        <v>59</v>
      </c>
      <c r="K100" s="141"/>
      <c r="L100" s="141"/>
      <c r="M100" s="141"/>
      <c r="N100" s="141"/>
      <c r="O100" s="141">
        <f>1*C18*12+C12</f>
        <v>75</v>
      </c>
      <c r="P100" s="13" t="s">
        <v>0</v>
      </c>
      <c r="Q100" s="13" t="s">
        <v>119</v>
      </c>
    </row>
    <row r="101" spans="1:17" ht="18.75" x14ac:dyDescent="0.35">
      <c r="A101" s="154" t="s">
        <v>60</v>
      </c>
      <c r="B101" s="60">
        <f>2*(C10*1000)^0.5</f>
        <v>126.49110640673517</v>
      </c>
      <c r="C101" s="39" t="s">
        <v>5</v>
      </c>
      <c r="D101" s="134"/>
      <c r="E101" s="134"/>
      <c r="F101" s="134"/>
      <c r="G101" s="134"/>
      <c r="H101" s="134"/>
      <c r="I101" s="135"/>
      <c r="L101" s="13" t="s">
        <v>83</v>
      </c>
      <c r="O101" s="13">
        <f>+B101</f>
        <v>126.49110640673517</v>
      </c>
      <c r="P101" s="13" t="s">
        <v>5</v>
      </c>
    </row>
    <row r="102" spans="1:17" x14ac:dyDescent="0.25">
      <c r="A102" s="154" t="s">
        <v>61</v>
      </c>
      <c r="B102" s="68">
        <f>+C23*12*B99</f>
        <v>11449.161599999999</v>
      </c>
      <c r="C102" s="39" t="s">
        <v>407</v>
      </c>
      <c r="D102" s="134"/>
      <c r="E102" s="134"/>
      <c r="F102" s="134"/>
      <c r="G102" s="134"/>
      <c r="H102" s="134"/>
      <c r="I102" s="135"/>
    </row>
    <row r="103" spans="1:17" ht="18.75" x14ac:dyDescent="0.35">
      <c r="A103" s="154" t="s">
        <v>7</v>
      </c>
      <c r="B103" s="68">
        <f>+B101*B102/1000</f>
        <v>1448.2171182135062</v>
      </c>
      <c r="C103" s="39" t="s">
        <v>18</v>
      </c>
      <c r="D103" s="134" t="s">
        <v>62</v>
      </c>
      <c r="E103" s="134"/>
      <c r="F103" s="134"/>
      <c r="G103" s="134"/>
      <c r="H103" s="134"/>
      <c r="I103" s="135"/>
    </row>
    <row r="104" spans="1:17" ht="18" x14ac:dyDescent="0.35">
      <c r="A104" s="154" t="s">
        <v>12</v>
      </c>
      <c r="B104" s="68">
        <f>+B103*0.75</f>
        <v>1086.1628386601296</v>
      </c>
      <c r="C104" s="39" t="s">
        <v>18</v>
      </c>
      <c r="D104" s="134"/>
      <c r="E104" s="134"/>
      <c r="F104" s="134"/>
      <c r="G104" s="134"/>
      <c r="H104" s="134"/>
      <c r="I104" s="135"/>
    </row>
    <row r="105" spans="1:17" ht="18" x14ac:dyDescent="0.35">
      <c r="A105" s="154" t="s">
        <v>57</v>
      </c>
      <c r="B105" s="68">
        <f>+E100*C14*C7-C7*0.15*C22*C23*C21/12*((C22/2-M98/12)/C22)</f>
        <v>-10.830287999999999</v>
      </c>
      <c r="C105" s="39" t="s">
        <v>18</v>
      </c>
      <c r="D105" s="134" t="s">
        <v>131</v>
      </c>
      <c r="E105" s="134"/>
      <c r="F105" s="134"/>
      <c r="G105" s="134"/>
      <c r="H105" s="134"/>
      <c r="I105" s="135"/>
    </row>
    <row r="106" spans="1:17" ht="18" x14ac:dyDescent="0.35">
      <c r="A106" s="154" t="s">
        <v>14</v>
      </c>
      <c r="B106" s="63">
        <f>+B105/B104</f>
        <v>-9.9711457753057006E-3</v>
      </c>
      <c r="C106" s="39"/>
      <c r="D106" s="134"/>
      <c r="E106" s="134"/>
      <c r="F106" s="134"/>
      <c r="G106" s="134"/>
      <c r="H106" s="134"/>
      <c r="I106" s="135"/>
    </row>
    <row r="107" spans="1:17" x14ac:dyDescent="0.25">
      <c r="A107" s="14"/>
      <c r="B107" s="134"/>
      <c r="C107" s="134"/>
      <c r="D107" s="134"/>
      <c r="E107" s="134"/>
      <c r="F107" s="134"/>
      <c r="G107" s="134"/>
      <c r="H107" s="134"/>
      <c r="I107" s="135"/>
    </row>
    <row r="108" spans="1:17" ht="18.75" x14ac:dyDescent="0.3">
      <c r="A108" s="152" t="s">
        <v>138</v>
      </c>
      <c r="B108" s="134"/>
      <c r="C108" s="134"/>
      <c r="D108" s="134"/>
      <c r="E108" s="134"/>
      <c r="F108" s="134"/>
      <c r="G108" s="134"/>
      <c r="H108" s="134"/>
      <c r="I108" s="135"/>
    </row>
    <row r="109" spans="1:17" ht="18.75" x14ac:dyDescent="0.3">
      <c r="A109" s="152" t="s">
        <v>139</v>
      </c>
      <c r="B109" s="134"/>
      <c r="C109" s="134"/>
      <c r="D109" s="134"/>
      <c r="E109" s="134"/>
      <c r="F109" s="134"/>
      <c r="G109" s="134"/>
      <c r="H109" s="134"/>
      <c r="I109" s="135"/>
      <c r="J109" s="13" t="s">
        <v>58</v>
      </c>
      <c r="K109" s="141"/>
      <c r="M109" s="141">
        <f>+C43/2+B110</f>
        <v>81</v>
      </c>
      <c r="N109" s="13" t="s">
        <v>0</v>
      </c>
      <c r="O109" s="141"/>
    </row>
    <row r="110" spans="1:17" x14ac:dyDescent="0.25">
      <c r="A110" s="154" t="s">
        <v>1</v>
      </c>
      <c r="B110" s="80">
        <f>+B99</f>
        <v>74</v>
      </c>
      <c r="C110" s="157" t="s">
        <v>0</v>
      </c>
      <c r="D110" s="134"/>
      <c r="E110" s="134"/>
      <c r="F110" s="134"/>
      <c r="G110" s="134"/>
      <c r="H110" s="134"/>
      <c r="I110" s="135"/>
      <c r="J110" s="13" t="s">
        <v>81</v>
      </c>
      <c r="K110" s="141"/>
      <c r="L110" s="141"/>
      <c r="M110" s="141"/>
      <c r="N110" s="141"/>
      <c r="O110" s="141">
        <f>0.8661*C18*12+C12</f>
        <v>65.359200000000001</v>
      </c>
      <c r="P110" s="13" t="s">
        <v>0</v>
      </c>
      <c r="Q110" s="13" t="s">
        <v>119</v>
      </c>
    </row>
    <row r="111" spans="1:17" x14ac:dyDescent="0.25">
      <c r="A111" s="154"/>
      <c r="B111" s="70"/>
      <c r="C111" s="157"/>
      <c r="D111" s="59" t="s">
        <v>414</v>
      </c>
      <c r="E111" s="156">
        <f>+IF(M109&gt;O110,0,2)</f>
        <v>0</v>
      </c>
      <c r="F111" s="134"/>
      <c r="G111" s="134"/>
      <c r="H111" s="134"/>
      <c r="I111" s="135"/>
    </row>
    <row r="112" spans="1:17" ht="18.75" x14ac:dyDescent="0.35">
      <c r="A112" s="154" t="s">
        <v>60</v>
      </c>
      <c r="B112" s="60">
        <f>2*(C10*1000)^0.5</f>
        <v>126.49110640673517</v>
      </c>
      <c r="C112" s="157" t="s">
        <v>5</v>
      </c>
      <c r="D112" s="134"/>
      <c r="E112" s="134"/>
      <c r="F112" s="134"/>
      <c r="G112" s="134"/>
      <c r="H112" s="134"/>
      <c r="I112" s="135"/>
      <c r="L112" s="13" t="s">
        <v>83</v>
      </c>
      <c r="O112" s="13">
        <f>+B112</f>
        <v>126.49110640673517</v>
      </c>
      <c r="P112" s="13" t="s">
        <v>5</v>
      </c>
    </row>
    <row r="113" spans="1:9" x14ac:dyDescent="0.25">
      <c r="A113" s="154" t="s">
        <v>61</v>
      </c>
      <c r="B113" s="68">
        <f>+C22*12*B110</f>
        <v>12876</v>
      </c>
      <c r="C113" s="157" t="s">
        <v>0</v>
      </c>
      <c r="D113" s="134"/>
      <c r="E113" s="134"/>
      <c r="F113" s="134"/>
      <c r="G113" s="134"/>
      <c r="H113" s="134"/>
      <c r="I113" s="135"/>
    </row>
    <row r="114" spans="1:9" ht="18.75" x14ac:dyDescent="0.35">
      <c r="A114" s="154" t="s">
        <v>7</v>
      </c>
      <c r="B114" s="68">
        <f>+B112*B113/1000</f>
        <v>1628.699486093122</v>
      </c>
      <c r="C114" s="39" t="s">
        <v>18</v>
      </c>
      <c r="D114" s="134" t="s">
        <v>62</v>
      </c>
      <c r="E114" s="134"/>
      <c r="F114" s="134"/>
      <c r="G114" s="134"/>
      <c r="H114" s="134"/>
      <c r="I114" s="135"/>
    </row>
    <row r="115" spans="1:9" ht="18" x14ac:dyDescent="0.35">
      <c r="A115" s="154" t="s">
        <v>12</v>
      </c>
      <c r="B115" s="68">
        <f>+B114*0.75</f>
        <v>1221.5246145698416</v>
      </c>
      <c r="C115" s="39" t="s">
        <v>18</v>
      </c>
      <c r="D115" s="134"/>
      <c r="E115" s="134"/>
      <c r="F115" s="134"/>
      <c r="G115" s="134"/>
      <c r="H115" s="134"/>
      <c r="I115" s="135"/>
    </row>
    <row r="116" spans="1:9" ht="18" x14ac:dyDescent="0.35">
      <c r="A116" s="154" t="s">
        <v>57</v>
      </c>
      <c r="B116" s="68">
        <f>+E111*C14*C7-C7*0.15*C22*C23*C21/12*((C23/2-M109/12)/C23)</f>
        <v>7.3908239999999976</v>
      </c>
      <c r="C116" s="39" t="s">
        <v>18</v>
      </c>
      <c r="D116" s="134" t="s">
        <v>131</v>
      </c>
      <c r="E116" s="134"/>
      <c r="F116" s="134"/>
      <c r="G116" s="134"/>
      <c r="H116" s="134"/>
      <c r="I116" s="135"/>
    </row>
    <row r="117" spans="1:9" ht="18" x14ac:dyDescent="0.35">
      <c r="A117" s="154" t="s">
        <v>14</v>
      </c>
      <c r="B117" s="63">
        <f>+B116/B115</f>
        <v>6.0504912564554973E-3</v>
      </c>
      <c r="C117" s="157"/>
      <c r="D117" s="134"/>
      <c r="E117" s="134"/>
      <c r="F117" s="134"/>
      <c r="G117" s="134"/>
      <c r="H117" s="134"/>
      <c r="I117" s="135"/>
    </row>
    <row r="118" spans="1:9" x14ac:dyDescent="0.25">
      <c r="A118" s="14"/>
      <c r="B118" s="134"/>
      <c r="C118" s="134"/>
      <c r="D118" s="134"/>
      <c r="E118" s="134"/>
      <c r="F118" s="134"/>
      <c r="G118" s="134"/>
      <c r="H118" s="134"/>
      <c r="I118" s="135"/>
    </row>
    <row r="119" spans="1:9" x14ac:dyDescent="0.25">
      <c r="A119" s="14"/>
      <c r="B119" s="134"/>
      <c r="C119" s="134"/>
      <c r="D119" s="134"/>
      <c r="E119" s="134"/>
      <c r="F119" s="134"/>
      <c r="G119" s="134"/>
      <c r="H119" s="134"/>
      <c r="I119" s="135"/>
    </row>
    <row r="120" spans="1:9" x14ac:dyDescent="0.25">
      <c r="A120" s="14"/>
      <c r="B120" s="134"/>
      <c r="C120" s="134"/>
      <c r="D120" s="134"/>
      <c r="E120" s="134"/>
      <c r="F120" s="134"/>
      <c r="G120" s="134"/>
      <c r="H120" s="134"/>
      <c r="I120" s="135"/>
    </row>
    <row r="121" spans="1:9" x14ac:dyDescent="0.25">
      <c r="A121" s="14"/>
      <c r="B121" s="134"/>
      <c r="C121" s="134"/>
      <c r="D121" s="134"/>
      <c r="E121" s="134"/>
      <c r="F121" s="134"/>
      <c r="G121" s="134"/>
      <c r="H121" s="134"/>
      <c r="I121" s="135"/>
    </row>
    <row r="122" spans="1:9" x14ac:dyDescent="0.25">
      <c r="A122" s="14"/>
      <c r="B122" s="134"/>
      <c r="C122" s="134"/>
      <c r="D122" s="134"/>
      <c r="E122" s="134"/>
      <c r="F122" s="134"/>
      <c r="G122" s="134"/>
      <c r="H122" s="134"/>
      <c r="I122" s="135"/>
    </row>
    <row r="123" spans="1:9" x14ac:dyDescent="0.25">
      <c r="A123" s="14"/>
      <c r="B123" s="134"/>
      <c r="C123" s="134"/>
      <c r="D123" s="134"/>
      <c r="E123" s="134"/>
      <c r="F123" s="134"/>
      <c r="G123" s="134"/>
      <c r="H123" s="134"/>
      <c r="I123" s="135"/>
    </row>
    <row r="124" spans="1:9" x14ac:dyDescent="0.25">
      <c r="A124" s="14"/>
      <c r="B124" s="134"/>
      <c r="C124" s="134"/>
      <c r="D124" s="134"/>
      <c r="E124" s="134"/>
      <c r="F124" s="134"/>
      <c r="G124" s="134"/>
      <c r="H124" s="134"/>
      <c r="I124" s="135"/>
    </row>
    <row r="125" spans="1:9" x14ac:dyDescent="0.25">
      <c r="A125" s="14"/>
      <c r="B125" s="134"/>
      <c r="C125" s="134"/>
      <c r="D125" s="134"/>
      <c r="E125" s="134"/>
      <c r="F125" s="134"/>
      <c r="G125" s="134"/>
      <c r="H125" s="134"/>
      <c r="I125" s="135"/>
    </row>
    <row r="126" spans="1:9" x14ac:dyDescent="0.25">
      <c r="A126" s="142"/>
      <c r="B126" s="137"/>
      <c r="C126" s="137"/>
      <c r="D126" s="137"/>
      <c r="E126" s="137"/>
      <c r="F126" s="137"/>
      <c r="G126" s="137"/>
      <c r="H126" s="137"/>
      <c r="I126" s="48" t="s">
        <v>422</v>
      </c>
    </row>
    <row r="127" spans="1:9" ht="18.75" x14ac:dyDescent="0.3">
      <c r="A127" s="153" t="s">
        <v>82</v>
      </c>
      <c r="B127" s="144"/>
      <c r="C127" s="144"/>
      <c r="D127" s="144"/>
      <c r="E127" s="144"/>
      <c r="F127" s="144"/>
      <c r="G127" s="144"/>
      <c r="H127" s="144"/>
      <c r="I127" s="145"/>
    </row>
    <row r="128" spans="1:9" x14ac:dyDescent="0.25">
      <c r="A128" s="154" t="s">
        <v>1</v>
      </c>
      <c r="B128" s="43">
        <f>+B87</f>
        <v>74</v>
      </c>
      <c r="C128" s="39" t="s">
        <v>0</v>
      </c>
      <c r="F128" s="134"/>
      <c r="G128" s="134"/>
      <c r="H128" s="134"/>
      <c r="I128" s="135"/>
    </row>
    <row r="129" spans="1:16" x14ac:dyDescent="0.25">
      <c r="A129" s="154" t="s">
        <v>53</v>
      </c>
      <c r="B129" s="63">
        <f>+B128/2</f>
        <v>37</v>
      </c>
      <c r="C129" s="39" t="s">
        <v>0</v>
      </c>
      <c r="F129" s="134"/>
      <c r="G129" s="134"/>
      <c r="H129" s="134"/>
      <c r="I129" s="135"/>
    </row>
    <row r="130" spans="1:16" x14ac:dyDescent="0.25">
      <c r="A130" s="14"/>
      <c r="B130" s="37"/>
      <c r="C130" s="37"/>
      <c r="D130" s="59" t="s">
        <v>453</v>
      </c>
      <c r="E130" s="156">
        <v>6</v>
      </c>
      <c r="G130" s="134"/>
      <c r="H130" s="134"/>
      <c r="I130" s="135"/>
    </row>
    <row r="131" spans="1:16" ht="18" x14ac:dyDescent="0.35">
      <c r="A131" s="59" t="s">
        <v>452</v>
      </c>
      <c r="B131" s="43">
        <f>+C18*12-C43/2+C12</f>
        <v>68</v>
      </c>
      <c r="C131" s="39" t="s">
        <v>0</v>
      </c>
      <c r="D131" s="134" t="str">
        <f>IF(B131&gt;B129,"&gt;","&lt;")</f>
        <v>&gt;</v>
      </c>
      <c r="E131" s="134" t="s">
        <v>17</v>
      </c>
      <c r="F131" s="134" t="str">
        <f>IF(D131="&gt;","Limit state not applicable","This procedure applies")</f>
        <v>Limit state not applicable</v>
      </c>
      <c r="G131" s="134"/>
      <c r="H131" s="134"/>
      <c r="I131" s="135"/>
    </row>
    <row r="132" spans="1:16" ht="18" x14ac:dyDescent="0.35">
      <c r="A132" s="154" t="s">
        <v>57</v>
      </c>
      <c r="B132" s="68">
        <f>+C14*E130*C7-C7*0.15*C22*C23*C21/12+C7*0.15*(C43)/12*(C43)/12*C21/12</f>
        <v>456.20831466666669</v>
      </c>
      <c r="C132" s="39" t="s">
        <v>18</v>
      </c>
      <c r="D132" s="134"/>
      <c r="E132" s="134"/>
      <c r="F132" s="134"/>
      <c r="G132" s="134"/>
      <c r="H132" s="134"/>
      <c r="I132" s="135"/>
    </row>
    <row r="133" spans="1:16" ht="18.75" x14ac:dyDescent="0.35">
      <c r="A133" s="154" t="s">
        <v>3</v>
      </c>
      <c r="B133" s="68">
        <f>4*(C10*1000)^0.5</f>
        <v>252.98221281347034</v>
      </c>
      <c r="C133" s="39" t="s">
        <v>5</v>
      </c>
      <c r="D133" s="134"/>
      <c r="E133" s="134"/>
      <c r="F133" s="134"/>
      <c r="G133" s="134"/>
      <c r="H133" s="134"/>
      <c r="I133" s="135"/>
    </row>
    <row r="134" spans="1:16" ht="18.75" x14ac:dyDescent="0.35">
      <c r="A134" s="154" t="s">
        <v>4</v>
      </c>
      <c r="B134" s="68">
        <f>+B133*8</f>
        <v>2023.8577025077627</v>
      </c>
      <c r="C134" s="39" t="s">
        <v>5</v>
      </c>
      <c r="D134" s="134"/>
      <c r="E134" s="134"/>
      <c r="F134" s="134"/>
      <c r="G134" s="134"/>
      <c r="H134" s="134"/>
      <c r="I134" s="135"/>
    </row>
    <row r="135" spans="1:16" ht="18" x14ac:dyDescent="0.35">
      <c r="A135" s="154" t="s">
        <v>11</v>
      </c>
      <c r="B135" s="61">
        <f>3.1415*(B128+C43)</f>
        <v>276.452</v>
      </c>
      <c r="C135" s="39" t="s">
        <v>0</v>
      </c>
      <c r="D135" s="134"/>
      <c r="E135" s="134"/>
      <c r="F135" s="134"/>
      <c r="G135" s="134"/>
      <c r="H135" s="134"/>
      <c r="I135" s="135"/>
      <c r="L135" s="13" t="s">
        <v>83</v>
      </c>
      <c r="O135" s="13">
        <f>+B137/4*B133</f>
        <v>865.24168584102881</v>
      </c>
      <c r="P135" s="13" t="s">
        <v>5</v>
      </c>
    </row>
    <row r="136" spans="1:16" ht="18" x14ac:dyDescent="0.35">
      <c r="A136" s="154" t="s">
        <v>2</v>
      </c>
      <c r="B136" s="61">
        <f>3.1415*C43</f>
        <v>43.981000000000002</v>
      </c>
      <c r="C136" s="39" t="s">
        <v>0</v>
      </c>
      <c r="D136" s="134"/>
      <c r="E136" s="134"/>
      <c r="F136" s="134"/>
      <c r="G136" s="134"/>
      <c r="H136" s="134"/>
      <c r="I136" s="135"/>
    </row>
    <row r="137" spans="1:16" x14ac:dyDescent="0.25">
      <c r="A137" s="154" t="s">
        <v>6</v>
      </c>
      <c r="B137" s="61">
        <f>IF(2*B128/B131*(1+B128/C43)&lt;32,2*B128/B131*(1+B128/C43),32)</f>
        <v>13.680672268907562</v>
      </c>
      <c r="C137" s="39"/>
      <c r="D137" s="134" t="s">
        <v>9</v>
      </c>
      <c r="E137" s="134"/>
      <c r="F137" s="134"/>
      <c r="G137" s="134"/>
      <c r="H137" s="134"/>
      <c r="I137" s="135"/>
    </row>
    <row r="138" spans="1:16" ht="18.75" x14ac:dyDescent="0.35">
      <c r="A138" s="154" t="s">
        <v>7</v>
      </c>
      <c r="B138" s="68">
        <f>+B137*(C10*1000)^0.5*B136*B128/1000</f>
        <v>2816.0103992880972</v>
      </c>
      <c r="C138" s="39" t="s">
        <v>18</v>
      </c>
      <c r="D138" s="134" t="s">
        <v>10</v>
      </c>
      <c r="E138" s="134"/>
      <c r="F138" s="134"/>
      <c r="G138" s="134"/>
      <c r="H138" s="134"/>
      <c r="I138" s="135"/>
    </row>
    <row r="139" spans="1:16" ht="18" x14ac:dyDescent="0.35">
      <c r="A139" s="154" t="s">
        <v>12</v>
      </c>
      <c r="B139" s="68">
        <f>+B138*0.75</f>
        <v>2112.0077994660728</v>
      </c>
      <c r="C139" s="39" t="s">
        <v>18</v>
      </c>
      <c r="D139" s="134"/>
      <c r="E139" s="134"/>
      <c r="F139" s="134"/>
      <c r="G139" s="134"/>
      <c r="H139" s="134"/>
      <c r="I139" s="135"/>
    </row>
    <row r="140" spans="1:16" ht="18" x14ac:dyDescent="0.35">
      <c r="A140" s="154" t="s">
        <v>14</v>
      </c>
      <c r="B140" s="63">
        <f>+B132/B139</f>
        <v>0.21600692704922711</v>
      </c>
      <c r="C140" s="37"/>
      <c r="D140" s="134"/>
      <c r="E140" s="134"/>
      <c r="F140" s="134"/>
      <c r="G140" s="134"/>
      <c r="H140" s="134"/>
      <c r="I140" s="135"/>
    </row>
    <row r="141" spans="1:16" x14ac:dyDescent="0.25">
      <c r="A141" s="14"/>
      <c r="B141" s="134"/>
      <c r="C141" s="134"/>
      <c r="D141" s="134"/>
      <c r="E141" s="134"/>
      <c r="F141" s="134"/>
      <c r="G141" s="134"/>
      <c r="H141" s="134"/>
      <c r="I141" s="135"/>
    </row>
    <row r="142" spans="1:16" ht="18.75" x14ac:dyDescent="0.3">
      <c r="A142" s="152" t="s">
        <v>133</v>
      </c>
      <c r="B142" s="134"/>
      <c r="C142" s="134"/>
      <c r="D142" s="134"/>
      <c r="E142" s="134"/>
      <c r="F142" s="134"/>
      <c r="G142" s="134"/>
      <c r="H142" s="134"/>
      <c r="I142" s="135"/>
    </row>
    <row r="143" spans="1:16" ht="18.75" x14ac:dyDescent="0.3">
      <c r="A143" s="152" t="s">
        <v>132</v>
      </c>
      <c r="B143" s="134"/>
      <c r="C143" s="134"/>
      <c r="D143" s="134"/>
      <c r="E143" s="134"/>
      <c r="F143" s="134"/>
      <c r="G143" s="134"/>
      <c r="H143" s="134"/>
      <c r="I143" s="135"/>
    </row>
    <row r="144" spans="1:16" x14ac:dyDescent="0.25">
      <c r="A144" s="154" t="s">
        <v>1</v>
      </c>
      <c r="B144" s="40">
        <f>+C21-C15-C16-P21/2</f>
        <v>74.153499999999994</v>
      </c>
      <c r="C144" s="39" t="s">
        <v>0</v>
      </c>
      <c r="D144" s="134"/>
      <c r="E144" s="134"/>
      <c r="F144" s="134"/>
      <c r="G144" s="134"/>
      <c r="H144" s="134"/>
      <c r="I144" s="135"/>
    </row>
    <row r="145" spans="1:16" x14ac:dyDescent="0.25">
      <c r="A145" s="154" t="s">
        <v>63</v>
      </c>
      <c r="B145" s="61">
        <f>+C18*12*0.5-C43/2+C12</f>
        <v>32</v>
      </c>
      <c r="C145" s="39" t="s">
        <v>0</v>
      </c>
      <c r="D145" s="148"/>
      <c r="E145" s="134"/>
      <c r="F145" s="134"/>
      <c r="G145" s="134"/>
      <c r="H145" s="134"/>
      <c r="I145" s="135"/>
    </row>
    <row r="146" spans="1:16" x14ac:dyDescent="0.25">
      <c r="A146" s="154" t="s">
        <v>64</v>
      </c>
      <c r="B146" s="61">
        <f>MAX(B145/B144,0)</f>
        <v>0.43153728414707332</v>
      </c>
      <c r="C146" s="39"/>
      <c r="D146" s="148" t="str">
        <f>+IF(B146&lt;1,"OK, this limit state should be checked","Limit state not applicable")</f>
        <v>OK, this limit state should be checked</v>
      </c>
      <c r="E146" s="134"/>
      <c r="F146" s="134"/>
      <c r="G146" s="134"/>
      <c r="H146" s="134"/>
      <c r="I146" s="135"/>
    </row>
    <row r="147" spans="1:16" ht="18" x14ac:dyDescent="0.35">
      <c r="A147" s="154" t="s">
        <v>57</v>
      </c>
      <c r="B147" s="68">
        <f>3*C7*C14-C7*0.15*C22*C23*C21/12*((C22/2-C43/2/12)/C22)</f>
        <v>239.59616000000005</v>
      </c>
      <c r="C147" s="39" t="s">
        <v>18</v>
      </c>
      <c r="D147" s="148"/>
      <c r="E147" s="134"/>
      <c r="F147" s="148"/>
      <c r="G147" s="134"/>
      <c r="H147" s="134"/>
      <c r="I147" s="135"/>
    </row>
    <row r="148" spans="1:16" ht="18" x14ac:dyDescent="0.35">
      <c r="A148" s="154" t="s">
        <v>25</v>
      </c>
      <c r="B148" s="68">
        <f>C7*C14*(2*B145)+C7*C14*(1*(B145+0.5*C18*12))-C7*0.15*C22*C23*C21/12*((C22/2-C43/2/12)/C22)*(C22/2-C43/2/12)*12/2</f>
        <v>11119.8464</v>
      </c>
      <c r="C148" s="39" t="s">
        <v>26</v>
      </c>
      <c r="D148" s="148"/>
      <c r="E148" s="134"/>
      <c r="F148" s="148"/>
      <c r="G148" s="134"/>
      <c r="H148" s="134"/>
      <c r="I148" s="135"/>
      <c r="L148" s="13" t="s">
        <v>83</v>
      </c>
      <c r="O148" s="13">
        <f>+B151/2*B101</f>
        <v>584.22901213190198</v>
      </c>
      <c r="P148" s="13" t="s">
        <v>5</v>
      </c>
    </row>
    <row r="149" spans="1:16" ht="18" x14ac:dyDescent="0.35">
      <c r="A149" s="154" t="s">
        <v>65</v>
      </c>
      <c r="B149" s="61">
        <f>+B147*B144/B148</f>
        <v>1.5977643225863265</v>
      </c>
      <c r="C149" s="39"/>
      <c r="D149" s="148"/>
      <c r="E149" s="148"/>
      <c r="F149" s="148"/>
      <c r="G149" s="134"/>
      <c r="H149" s="134"/>
      <c r="I149" s="135"/>
    </row>
    <row r="150" spans="1:16" ht="18" x14ac:dyDescent="0.35">
      <c r="A150" s="59" t="s">
        <v>415</v>
      </c>
      <c r="B150" s="61">
        <f>1/B149</f>
        <v>0.62587453347392563</v>
      </c>
      <c r="C150" s="39"/>
      <c r="D150" s="148"/>
      <c r="E150" s="148"/>
      <c r="F150" s="148"/>
      <c r="G150" s="134"/>
      <c r="H150" s="134"/>
      <c r="I150" s="135"/>
    </row>
    <row r="151" spans="1:16" x14ac:dyDescent="0.25">
      <c r="A151" s="154" t="s">
        <v>6</v>
      </c>
      <c r="B151" s="61">
        <f>+MIN(1/B146*(3.5-2.5*B150)*(1.9+0.1*B149),10)</f>
        <v>9.2374717674347728</v>
      </c>
      <c r="C151" s="39"/>
      <c r="D151" s="148"/>
      <c r="E151" s="148"/>
      <c r="F151" s="134"/>
      <c r="G151" s="134"/>
      <c r="H151" s="134"/>
      <c r="I151" s="135"/>
    </row>
    <row r="152" spans="1:16" ht="18" x14ac:dyDescent="0.35">
      <c r="A152" s="154" t="s">
        <v>12</v>
      </c>
      <c r="B152" s="68">
        <f>0.75*B151*(C10*1000)^0.5/1000*C23*12*B144</f>
        <v>5027.1055398210501</v>
      </c>
      <c r="C152" s="39" t="s">
        <v>18</v>
      </c>
      <c r="D152" s="134"/>
      <c r="E152" s="134"/>
      <c r="F152" s="134"/>
      <c r="G152" s="134"/>
      <c r="H152" s="134"/>
      <c r="I152" s="135"/>
    </row>
    <row r="153" spans="1:16" ht="18" x14ac:dyDescent="0.35">
      <c r="A153" s="154" t="s">
        <v>14</v>
      </c>
      <c r="B153" s="63">
        <f>+B147/B152</f>
        <v>4.7660857346656968E-2</v>
      </c>
      <c r="C153" s="37"/>
      <c r="D153" s="134"/>
      <c r="E153" s="134"/>
      <c r="F153" s="134"/>
      <c r="G153" s="134"/>
      <c r="H153" s="134"/>
      <c r="I153" s="135"/>
    </row>
    <row r="154" spans="1:16" x14ac:dyDescent="0.25">
      <c r="A154" s="14"/>
      <c r="B154" s="134"/>
      <c r="C154" s="134"/>
      <c r="D154" s="134"/>
      <c r="E154" s="134"/>
      <c r="F154" s="134"/>
      <c r="G154" s="134"/>
      <c r="H154" s="134"/>
      <c r="I154" s="135"/>
    </row>
    <row r="155" spans="1:16" ht="18.75" x14ac:dyDescent="0.3">
      <c r="A155" s="152" t="s">
        <v>140</v>
      </c>
      <c r="B155" s="134"/>
      <c r="C155" s="134"/>
      <c r="D155" s="134"/>
      <c r="E155" s="134"/>
      <c r="F155" s="134"/>
      <c r="G155" s="134"/>
      <c r="H155" s="134"/>
      <c r="I155" s="135"/>
    </row>
    <row r="156" spans="1:16" ht="18.75" x14ac:dyDescent="0.3">
      <c r="A156" s="152" t="s">
        <v>141</v>
      </c>
      <c r="B156" s="134"/>
      <c r="C156" s="134"/>
      <c r="D156" s="134"/>
      <c r="E156" s="134"/>
      <c r="F156" s="134"/>
      <c r="G156" s="134"/>
      <c r="H156" s="134"/>
      <c r="I156" s="135"/>
    </row>
    <row r="157" spans="1:16" x14ac:dyDescent="0.25">
      <c r="A157" s="154" t="s">
        <v>1</v>
      </c>
      <c r="B157" s="40">
        <f>+C21-C15-C16-P21-L21/2</f>
        <v>72.460499999999996</v>
      </c>
      <c r="C157" s="39" t="s">
        <v>0</v>
      </c>
      <c r="D157" s="134"/>
      <c r="E157" s="134"/>
      <c r="F157" s="134"/>
      <c r="G157" s="134"/>
      <c r="H157" s="134"/>
      <c r="I157" s="135"/>
    </row>
    <row r="158" spans="1:16" x14ac:dyDescent="0.25">
      <c r="A158" s="154" t="s">
        <v>63</v>
      </c>
      <c r="B158" s="61">
        <f>+C18*12*0.8661-C43/2+C12</f>
        <v>58.359200000000001</v>
      </c>
      <c r="C158" s="39" t="s">
        <v>0</v>
      </c>
      <c r="D158" s="148"/>
      <c r="E158" s="134"/>
      <c r="F158" s="134"/>
      <c r="G158" s="134"/>
      <c r="H158" s="134"/>
      <c r="I158" s="135"/>
    </row>
    <row r="159" spans="1:16" x14ac:dyDescent="0.25">
      <c r="A159" s="154" t="s">
        <v>64</v>
      </c>
      <c r="B159" s="61">
        <f>MAX(B158/B157,0)</f>
        <v>0.80539328323707404</v>
      </c>
      <c r="C159" s="39"/>
      <c r="D159" s="148" t="str">
        <f>+IF(B159&lt;1,"OK, this limit state should be checked","Limit state not applicable")</f>
        <v>OK, this limit state should be checked</v>
      </c>
      <c r="E159" s="134"/>
      <c r="F159" s="134"/>
      <c r="G159" s="134"/>
      <c r="H159" s="134"/>
      <c r="I159" s="135"/>
    </row>
    <row r="160" spans="1:16" ht="18" x14ac:dyDescent="0.35">
      <c r="A160" s="154" t="s">
        <v>57</v>
      </c>
      <c r="B160" s="68">
        <f>2*C7*C14-C7*0.15*C22*C23*C21/12*((C23/2-C43/2/12)/C23)</f>
        <v>113.17082399999998</v>
      </c>
      <c r="C160" s="39" t="s">
        <v>18</v>
      </c>
      <c r="D160" s="148"/>
      <c r="E160" s="134"/>
      <c r="F160" s="148"/>
      <c r="G160" s="134"/>
      <c r="H160" s="134"/>
      <c r="I160" s="135"/>
    </row>
    <row r="161" spans="1:32" ht="18" x14ac:dyDescent="0.35">
      <c r="A161" s="154" t="s">
        <v>25</v>
      </c>
      <c r="B161" s="68">
        <f>C7*C14*(2*B158)-C7*0.15*C22*C23*C21/12*((C23/2-C43/2/12)/C23)*(C23/2-C43/2/12)*12/2</f>
        <v>9915.2819199903988</v>
      </c>
      <c r="C161" s="39" t="s">
        <v>26</v>
      </c>
      <c r="D161" s="148"/>
      <c r="E161" s="134"/>
      <c r="F161" s="148"/>
      <c r="G161" s="134"/>
      <c r="H161" s="134"/>
      <c r="I161" s="135"/>
      <c r="L161" s="13" t="s">
        <v>83</v>
      </c>
      <c r="O161" s="13">
        <f>+B164/2*B112</f>
        <v>74.298729631115023</v>
      </c>
      <c r="P161" s="13" t="s">
        <v>5</v>
      </c>
    </row>
    <row r="162" spans="1:32" ht="18" x14ac:dyDescent="0.35">
      <c r="A162" s="154" t="s">
        <v>65</v>
      </c>
      <c r="B162" s="61">
        <f>+B160*B157/B161</f>
        <v>0.82704804146001931</v>
      </c>
      <c r="C162" s="39"/>
      <c r="D162" s="148"/>
      <c r="E162" s="148"/>
      <c r="F162" s="148"/>
      <c r="G162" s="134"/>
      <c r="H162" s="134"/>
      <c r="I162" s="135"/>
    </row>
    <row r="163" spans="1:32" ht="18" x14ac:dyDescent="0.35">
      <c r="A163" s="59" t="s">
        <v>415</v>
      </c>
      <c r="B163" s="61">
        <f>1/B162</f>
        <v>1.2091196035416056</v>
      </c>
      <c r="C163" s="39"/>
      <c r="D163" s="148"/>
      <c r="E163" s="148"/>
      <c r="F163" s="148"/>
      <c r="G163" s="134"/>
      <c r="H163" s="134"/>
      <c r="I163" s="135"/>
    </row>
    <row r="164" spans="1:32" x14ac:dyDescent="0.25">
      <c r="A164" s="154" t="s">
        <v>6</v>
      </c>
      <c r="B164" s="61">
        <f>+MIN(1/B159*(3.5-2.5*B163)*(1.9+0.1*B162),10)</f>
        <v>1.1747660644568272</v>
      </c>
      <c r="C164" s="39"/>
      <c r="D164" s="148"/>
      <c r="E164" s="148"/>
      <c r="F164" s="134"/>
      <c r="G164" s="134"/>
      <c r="H164" s="134"/>
      <c r="I164" s="135"/>
    </row>
    <row r="165" spans="1:32" ht="18" x14ac:dyDescent="0.35">
      <c r="A165" s="154" t="s">
        <v>12</v>
      </c>
      <c r="B165" s="68">
        <f>0.75*B164*(C10*1000)^0.5/1000*C22*12*B157</f>
        <v>702.57586434582095</v>
      </c>
      <c r="C165" s="39" t="s">
        <v>18</v>
      </c>
      <c r="D165" s="134"/>
      <c r="E165" s="134"/>
      <c r="F165" s="134"/>
      <c r="G165" s="134"/>
      <c r="H165" s="134"/>
      <c r="I165" s="135"/>
    </row>
    <row r="166" spans="1:32" ht="18" x14ac:dyDescent="0.35">
      <c r="A166" s="154" t="s">
        <v>14</v>
      </c>
      <c r="B166" s="63">
        <f>+B160/B165</f>
        <v>0.16107986303425759</v>
      </c>
      <c r="C166" s="37"/>
      <c r="D166" s="134"/>
      <c r="E166" s="134"/>
      <c r="F166" s="134"/>
      <c r="G166" s="134"/>
      <c r="H166" s="134"/>
      <c r="I166" s="135"/>
    </row>
    <row r="167" spans="1:32" ht="18.75" x14ac:dyDescent="0.3">
      <c r="A167" s="142"/>
      <c r="B167" s="137"/>
      <c r="C167" s="137"/>
      <c r="D167" s="137"/>
      <c r="E167" s="137"/>
      <c r="F167" s="137"/>
      <c r="G167" s="137"/>
      <c r="H167" s="137"/>
      <c r="I167" s="48" t="s">
        <v>422</v>
      </c>
      <c r="Q167" s="140" t="s">
        <v>84</v>
      </c>
    </row>
    <row r="168" spans="1:32" ht="18.75" x14ac:dyDescent="0.3">
      <c r="A168" s="153" t="s">
        <v>67</v>
      </c>
      <c r="B168" s="144"/>
      <c r="C168" s="144"/>
      <c r="D168" s="144"/>
      <c r="E168" s="144"/>
      <c r="F168" s="144"/>
      <c r="G168" s="144"/>
      <c r="H168" s="144"/>
      <c r="I168" s="145"/>
      <c r="Q168" s="13" t="s">
        <v>1</v>
      </c>
      <c r="T168" s="13">
        <f>+C28</f>
        <v>74</v>
      </c>
      <c r="U168" s="13" t="s">
        <v>0</v>
      </c>
      <c r="W168" s="141"/>
    </row>
    <row r="169" spans="1:32" x14ac:dyDescent="0.25">
      <c r="A169" s="14" t="s">
        <v>68</v>
      </c>
      <c r="B169" s="134"/>
      <c r="C169" s="134"/>
      <c r="D169" s="134"/>
      <c r="E169" s="134"/>
      <c r="F169" s="134"/>
      <c r="G169" s="134"/>
      <c r="H169" s="134"/>
      <c r="I169" s="135"/>
      <c r="Q169" s="13" t="s">
        <v>53</v>
      </c>
      <c r="T169" s="13">
        <f>+T168/2</f>
        <v>37</v>
      </c>
      <c r="U169" s="13" t="s">
        <v>0</v>
      </c>
      <c r="W169" s="141"/>
    </row>
    <row r="170" spans="1:32" x14ac:dyDescent="0.25">
      <c r="A170" s="59" t="s">
        <v>417</v>
      </c>
      <c r="B170" s="77">
        <f>+C23*C22*C21/12/27</f>
        <v>48.468881481481489</v>
      </c>
      <c r="C170" s="157" t="s">
        <v>418</v>
      </c>
      <c r="D170" s="134"/>
      <c r="E170" s="134"/>
      <c r="F170" s="134"/>
      <c r="G170" s="134"/>
      <c r="H170" s="134"/>
      <c r="I170" s="135"/>
      <c r="Q170" s="13" t="s">
        <v>114</v>
      </c>
      <c r="R170" s="141"/>
      <c r="T170" s="141">
        <f>+M29+T168</f>
        <v>94</v>
      </c>
      <c r="U170" s="13" t="s">
        <v>0</v>
      </c>
      <c r="V170" s="141"/>
      <c r="W170" s="141"/>
    </row>
    <row r="171" spans="1:32" ht="17.25" x14ac:dyDescent="0.25">
      <c r="A171" s="14"/>
      <c r="B171" s="37"/>
      <c r="C171" s="134"/>
      <c r="D171" s="134"/>
      <c r="E171" s="134"/>
      <c r="F171" s="134"/>
      <c r="G171" s="134"/>
      <c r="H171" s="134"/>
      <c r="I171" s="135"/>
      <c r="Q171" s="13" t="s">
        <v>85</v>
      </c>
      <c r="R171" s="141"/>
      <c r="S171" s="141"/>
      <c r="T171" s="141">
        <f>3.1415*T170*T168</f>
        <v>21852.274000000005</v>
      </c>
      <c r="U171" s="13" t="s">
        <v>34</v>
      </c>
    </row>
    <row r="172" spans="1:32" ht="18.75" x14ac:dyDescent="0.35">
      <c r="A172" s="14" t="s">
        <v>69</v>
      </c>
      <c r="B172" s="37"/>
      <c r="C172" s="134"/>
      <c r="D172" s="134"/>
      <c r="E172" s="134"/>
      <c r="F172" s="134"/>
      <c r="G172" s="134"/>
      <c r="H172" s="134"/>
      <c r="I172" s="135"/>
      <c r="Q172" s="13" t="s">
        <v>3</v>
      </c>
      <c r="R172" s="13">
        <f>4*(C10*1000)^0.5</f>
        <v>252.98221281347034</v>
      </c>
      <c r="S172" s="13" t="s">
        <v>5</v>
      </c>
      <c r="AB172" s="13" t="s">
        <v>86</v>
      </c>
      <c r="AE172" s="13">
        <f>+R175/T171*1000</f>
        <v>2.1525590044618084</v>
      </c>
      <c r="AF172" s="13" t="s">
        <v>5</v>
      </c>
    </row>
    <row r="173" spans="1:32" ht="18.75" x14ac:dyDescent="0.35">
      <c r="A173" s="14"/>
      <c r="B173" s="40">
        <f>+C66</f>
        <v>11</v>
      </c>
      <c r="C173" s="39" t="s">
        <v>70</v>
      </c>
      <c r="D173" s="72" t="str">
        <f>"#"&amp;+C24</f>
        <v>#14</v>
      </c>
      <c r="E173" s="134" t="s">
        <v>71</v>
      </c>
      <c r="F173" s="134" t="s">
        <v>72</v>
      </c>
      <c r="G173" s="43">
        <f>+C23-0.5</f>
        <v>12.3932</v>
      </c>
      <c r="H173" s="39" t="s">
        <v>73</v>
      </c>
      <c r="I173" s="135"/>
      <c r="Q173" s="13" t="s">
        <v>7</v>
      </c>
      <c r="R173" s="13">
        <f>+R172*T171/1000</f>
        <v>5528.2366315262661</v>
      </c>
      <c r="S173" s="13" t="s">
        <v>8</v>
      </c>
      <c r="T173" s="13" t="s">
        <v>87</v>
      </c>
    </row>
    <row r="174" spans="1:32" ht="18" x14ac:dyDescent="0.35">
      <c r="A174" s="14"/>
      <c r="B174" s="44">
        <f>+B173*2</f>
        <v>22</v>
      </c>
      <c r="C174" s="39" t="s">
        <v>70</v>
      </c>
      <c r="D174" s="37"/>
      <c r="E174" s="134" t="s">
        <v>74</v>
      </c>
      <c r="F174" s="134" t="s">
        <v>72</v>
      </c>
      <c r="G174" s="63">
        <f>+M19/12</f>
        <v>2.0749831250000006</v>
      </c>
      <c r="H174" s="39" t="s">
        <v>73</v>
      </c>
      <c r="I174" s="135"/>
      <c r="Q174" s="13" t="s">
        <v>12</v>
      </c>
      <c r="R174" s="13">
        <f>+R173*0.75</f>
        <v>4146.1774736446996</v>
      </c>
      <c r="S174" s="13" t="s">
        <v>8</v>
      </c>
    </row>
    <row r="175" spans="1:32" ht="18" x14ac:dyDescent="0.35">
      <c r="A175" s="154" t="s">
        <v>75</v>
      </c>
      <c r="B175" s="78">
        <f>+B173*G173*L22/144*490+B174*G174*L22/144*490</f>
        <v>1393.9137310647816</v>
      </c>
      <c r="C175" s="39" t="s">
        <v>78</v>
      </c>
      <c r="D175" s="37"/>
      <c r="E175" s="134"/>
      <c r="F175" s="134"/>
      <c r="G175" s="37"/>
      <c r="H175" s="37"/>
      <c r="I175" s="135"/>
      <c r="Q175" s="13" t="s">
        <v>57</v>
      </c>
      <c r="R175" s="13">
        <f>C7*C14-C7*(3.1415*(T170/12)^2/4*C21/12*0.15)</f>
        <v>47.038309166666664</v>
      </c>
      <c r="S175" s="13" t="s">
        <v>8</v>
      </c>
      <c r="T175" s="13" t="s">
        <v>344</v>
      </c>
    </row>
    <row r="176" spans="1:32" ht="18" x14ac:dyDescent="0.35">
      <c r="A176" s="14" t="s">
        <v>76</v>
      </c>
      <c r="B176" s="37"/>
      <c r="C176" s="37"/>
      <c r="D176" s="37"/>
      <c r="E176" s="134"/>
      <c r="F176" s="134"/>
      <c r="G176" s="37"/>
      <c r="H176" s="37"/>
      <c r="I176" s="135"/>
      <c r="Q176" s="13" t="s">
        <v>14</v>
      </c>
      <c r="R176" s="13">
        <f>+R175/R174</f>
        <v>1.1344982086673104E-2</v>
      </c>
    </row>
    <row r="177" spans="1:32" x14ac:dyDescent="0.25">
      <c r="A177" s="14"/>
      <c r="B177" s="40">
        <f>+C84</f>
        <v>11</v>
      </c>
      <c r="C177" s="39" t="s">
        <v>70</v>
      </c>
      <c r="D177" s="72" t="str">
        <f>"#"&amp;+C25</f>
        <v>#14</v>
      </c>
      <c r="E177" s="134" t="s">
        <v>71</v>
      </c>
      <c r="F177" s="134" t="s">
        <v>72</v>
      </c>
      <c r="G177" s="43">
        <f>+C22-0.5</f>
        <v>14</v>
      </c>
      <c r="H177" s="39" t="s">
        <v>73</v>
      </c>
      <c r="I177" s="135"/>
    </row>
    <row r="178" spans="1:32" ht="18.75" x14ac:dyDescent="0.3">
      <c r="A178" s="14"/>
      <c r="B178" s="44">
        <f>+B177*2</f>
        <v>22</v>
      </c>
      <c r="C178" s="39" t="s">
        <v>70</v>
      </c>
      <c r="D178" s="134"/>
      <c r="E178" s="134" t="s">
        <v>74</v>
      </c>
      <c r="F178" s="134" t="s">
        <v>72</v>
      </c>
      <c r="G178" s="63">
        <f>+M20/12</f>
        <v>2.0749831250000006</v>
      </c>
      <c r="H178" s="39" t="s">
        <v>73</v>
      </c>
      <c r="I178" s="135"/>
      <c r="Q178" s="140" t="s">
        <v>89</v>
      </c>
    </row>
    <row r="179" spans="1:32" x14ac:dyDescent="0.25">
      <c r="A179" s="154" t="s">
        <v>75</v>
      </c>
      <c r="B179" s="78">
        <f>+B177*G177*P22/144*490+B178*G178*P22/144*490</f>
        <v>1529.3013920015078</v>
      </c>
      <c r="C179" s="39" t="s">
        <v>78</v>
      </c>
      <c r="D179" s="134"/>
      <c r="E179" s="134"/>
      <c r="F179" s="134"/>
      <c r="G179" s="134"/>
      <c r="H179" s="134"/>
      <c r="I179" s="135"/>
      <c r="Q179" s="13" t="s">
        <v>1</v>
      </c>
      <c r="T179" s="13">
        <f>+C28</f>
        <v>74</v>
      </c>
      <c r="U179" s="13" t="s">
        <v>0</v>
      </c>
      <c r="V179" s="13" t="s">
        <v>52</v>
      </c>
      <c r="W179" s="141"/>
    </row>
    <row r="180" spans="1:32" x14ac:dyDescent="0.25">
      <c r="A180" s="14"/>
      <c r="B180" s="134"/>
      <c r="C180" s="134"/>
      <c r="D180" s="134"/>
      <c r="E180" s="134"/>
      <c r="F180" s="134"/>
      <c r="G180" s="134"/>
      <c r="H180" s="134"/>
      <c r="I180" s="135"/>
      <c r="Q180" s="13" t="s">
        <v>53</v>
      </c>
      <c r="T180" s="13">
        <f>+T179/2</f>
        <v>37</v>
      </c>
      <c r="U180" s="13" t="s">
        <v>0</v>
      </c>
      <c r="W180" s="141"/>
    </row>
    <row r="181" spans="1:32" x14ac:dyDescent="0.25">
      <c r="A181" s="14"/>
      <c r="B181" s="71" t="s">
        <v>77</v>
      </c>
      <c r="C181" s="79">
        <f>+B179+B175</f>
        <v>2923.2151230662894</v>
      </c>
      <c r="D181" s="157" t="s">
        <v>78</v>
      </c>
      <c r="E181" s="134" t="s">
        <v>79</v>
      </c>
      <c r="F181" s="80">
        <f>+C181/2000</f>
        <v>1.4616075615331448</v>
      </c>
      <c r="G181" s="157" t="s">
        <v>19</v>
      </c>
      <c r="H181" s="134"/>
      <c r="I181" s="135"/>
      <c r="Q181" s="13" t="s">
        <v>143</v>
      </c>
      <c r="R181" s="141"/>
      <c r="T181" s="141">
        <f>+C18*12*2</f>
        <v>144</v>
      </c>
      <c r="U181" s="13" t="s">
        <v>0</v>
      </c>
      <c r="W181" s="141"/>
    </row>
    <row r="182" spans="1:32" x14ac:dyDescent="0.25">
      <c r="A182" s="14"/>
      <c r="B182" s="134"/>
      <c r="C182" s="134"/>
      <c r="D182" s="134"/>
      <c r="E182" s="134"/>
      <c r="F182" s="134"/>
      <c r="G182" s="134"/>
      <c r="H182" s="134"/>
      <c r="I182" s="135"/>
      <c r="Q182" s="13" t="s">
        <v>142</v>
      </c>
      <c r="R182" s="141"/>
      <c r="T182" s="141">
        <f>+(M29+T168)*3.1415</f>
        <v>295.30100000000004</v>
      </c>
      <c r="U182" s="13" t="s">
        <v>0</v>
      </c>
      <c r="V182" s="141"/>
      <c r="W182" s="141"/>
    </row>
    <row r="183" spans="1:32" ht="17.25" x14ac:dyDescent="0.25">
      <c r="A183" s="14"/>
      <c r="B183" s="134"/>
      <c r="C183" s="134"/>
      <c r="D183" s="134"/>
      <c r="E183" s="134"/>
      <c r="F183" s="134"/>
      <c r="G183" s="134"/>
      <c r="H183" s="134"/>
      <c r="I183" s="135"/>
      <c r="Q183" s="13" t="s">
        <v>85</v>
      </c>
      <c r="R183" s="141"/>
      <c r="S183" s="141"/>
      <c r="T183" s="141">
        <f>+(T182+T181)*T179</f>
        <v>32508.274000000005</v>
      </c>
      <c r="U183" s="13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3" t="s">
        <v>3</v>
      </c>
      <c r="R184" s="13">
        <f>4*(C10*1000)^0.5</f>
        <v>252.98221281347034</v>
      </c>
      <c r="S184" s="13" t="s">
        <v>5</v>
      </c>
      <c r="AB184" s="13" t="s">
        <v>86</v>
      </c>
      <c r="AE184" s="13">
        <f>+R187/T183*1000</f>
        <v>2.9555032410107849</v>
      </c>
      <c r="AF184" s="13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3" t="s">
        <v>7</v>
      </c>
      <c r="R185" s="13">
        <f>+R184*T183/1000</f>
        <v>8224.0150912666068</v>
      </c>
      <c r="S185" s="13" t="s">
        <v>8</v>
      </c>
      <c r="T185" s="13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3" t="s">
        <v>12</v>
      </c>
      <c r="R186" s="13">
        <f>+R185*0.75</f>
        <v>6168.0113184499551</v>
      </c>
      <c r="S186" s="13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3" t="s">
        <v>57</v>
      </c>
      <c r="R187" s="13">
        <f>2*C7*C14-C7*(C18*(C17/12+T179/12)+3.1415*(C17/12+T179/12)^2/4)*C21/12*0.15</f>
        <v>96.078309166666656</v>
      </c>
      <c r="S187" s="13" t="s">
        <v>8</v>
      </c>
      <c r="T187" s="13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3" t="s">
        <v>14</v>
      </c>
      <c r="R188" s="13">
        <f>+R187/R186</f>
        <v>1.5576869789339412E-2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14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3" t="s">
        <v>1</v>
      </c>
      <c r="T191" s="13">
        <f>+C28</f>
        <v>74</v>
      </c>
      <c r="U191" s="13" t="s">
        <v>0</v>
      </c>
      <c r="V191" s="13" t="s">
        <v>52</v>
      </c>
      <c r="W191" s="14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3" t="s">
        <v>53</v>
      </c>
      <c r="T192" s="13">
        <f>+T191/2</f>
        <v>37</v>
      </c>
      <c r="U192" s="13" t="s">
        <v>0</v>
      </c>
      <c r="W192" s="141"/>
    </row>
    <row r="193" spans="1:58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3" t="s">
        <v>144</v>
      </c>
      <c r="R193" s="141"/>
      <c r="T193" s="141">
        <f>2*C19+3.1415*T170/4</f>
        <v>103.82525000000001</v>
      </c>
      <c r="U193" s="13" t="s">
        <v>0</v>
      </c>
      <c r="V193" s="141"/>
      <c r="W193" s="141"/>
    </row>
    <row r="194" spans="1:58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3" t="s">
        <v>85</v>
      </c>
      <c r="R194" s="141"/>
      <c r="S194" s="141"/>
      <c r="T194" s="141">
        <f>+T193*T191</f>
        <v>7683.0685000000012</v>
      </c>
      <c r="U194" s="13" t="s">
        <v>34</v>
      </c>
    </row>
    <row r="195" spans="1:58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3" t="s">
        <v>3</v>
      </c>
      <c r="R195" s="13">
        <f>4*(C10*1000)^0.5</f>
        <v>252.98221281347034</v>
      </c>
      <c r="S195" s="13" t="s">
        <v>5</v>
      </c>
      <c r="AB195" s="13" t="s">
        <v>86</v>
      </c>
      <c r="AE195" s="13">
        <f>+R198/T194*1000</f>
        <v>11.542859118289348</v>
      </c>
      <c r="AF195" s="13" t="s">
        <v>5</v>
      </c>
    </row>
    <row r="196" spans="1:58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3" t="s">
        <v>7</v>
      </c>
      <c r="R196" s="13">
        <f>+R195*T194/1000</f>
        <v>1943.6796703274706</v>
      </c>
      <c r="S196" s="13" t="s">
        <v>8</v>
      </c>
      <c r="T196" s="13" t="s">
        <v>87</v>
      </c>
    </row>
    <row r="197" spans="1:58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3" t="s">
        <v>12</v>
      </c>
      <c r="R197" s="13">
        <f>+R196*0.75</f>
        <v>1457.759752745603</v>
      </c>
      <c r="S197" s="13" t="s">
        <v>8</v>
      </c>
    </row>
    <row r="198" spans="1:58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3" t="s">
        <v>57</v>
      </c>
      <c r="R198" s="13">
        <f>C7*C14-C7*V199*C21/12*0.15</f>
        <v>88.68457729166667</v>
      </c>
      <c r="S198" s="13" t="s">
        <v>8</v>
      </c>
      <c r="T198" s="13" t="s">
        <v>344</v>
      </c>
    </row>
    <row r="199" spans="1:58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3" t="s">
        <v>14</v>
      </c>
      <c r="R199" s="13">
        <f>+R198/R197</f>
        <v>6.0836209207062134E-2</v>
      </c>
      <c r="T199" s="13" t="s">
        <v>145</v>
      </c>
      <c r="V199" s="13">
        <f>+(C19*C19+C19*T170+3.1415*T170^2/4/4)/144</f>
        <v>23.402037326388889</v>
      </c>
      <c r="W199" s="13" t="s">
        <v>146</v>
      </c>
    </row>
    <row r="200" spans="1:58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8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140" t="s">
        <v>94</v>
      </c>
    </row>
    <row r="202" spans="1:58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3" t="s">
        <v>1</v>
      </c>
      <c r="T202" s="13">
        <f>+C28</f>
        <v>74</v>
      </c>
      <c r="U202" s="13" t="s">
        <v>0</v>
      </c>
      <c r="V202" s="13" t="s">
        <v>52</v>
      </c>
      <c r="W202" s="141"/>
    </row>
    <row r="203" spans="1:58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3" t="s">
        <v>90</v>
      </c>
      <c r="T203" s="13">
        <f>MIN(T202,13)</f>
        <v>13</v>
      </c>
      <c r="U203" s="13" t="s">
        <v>0</v>
      </c>
      <c r="V203" s="13" t="s">
        <v>91</v>
      </c>
      <c r="W203" s="141"/>
    </row>
    <row r="204" spans="1:58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3" t="s">
        <v>92</v>
      </c>
      <c r="R204" s="141"/>
      <c r="T204" s="141">
        <f>2*(1.4142*C19+C17/2+T203)</f>
        <v>88.425999999999988</v>
      </c>
      <c r="U204" s="13" t="s">
        <v>0</v>
      </c>
      <c r="V204" s="141"/>
      <c r="W204" s="141"/>
    </row>
    <row r="205" spans="1:58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3" t="s">
        <v>85</v>
      </c>
      <c r="R205" s="141"/>
      <c r="S205" s="141"/>
      <c r="T205" s="141">
        <f>+T204*T202</f>
        <v>6543.5239999999994</v>
      </c>
      <c r="U205" s="13" t="s">
        <v>34</v>
      </c>
    </row>
    <row r="206" spans="1:58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3" t="s">
        <v>60</v>
      </c>
      <c r="R206" s="13">
        <f>2*(C10*1000)^0.5</f>
        <v>126.49110640673517</v>
      </c>
      <c r="S206" s="13" t="s">
        <v>5</v>
      </c>
      <c r="AB206" s="13" t="s">
        <v>86</v>
      </c>
      <c r="AE206" s="13">
        <f>+R209/T205*1000</f>
        <v>16.076132897966676</v>
      </c>
      <c r="AF206" s="13" t="s">
        <v>5</v>
      </c>
    </row>
    <row r="207" spans="1:58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3" t="s">
        <v>7</v>
      </c>
      <c r="R207" s="13">
        <f>+R206*T205/1000</f>
        <v>827.69759055902534</v>
      </c>
      <c r="S207" s="13" t="s">
        <v>8</v>
      </c>
      <c r="T207" s="13" t="s">
        <v>93</v>
      </c>
    </row>
    <row r="208" spans="1:58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134"/>
      <c r="K208" s="134"/>
      <c r="L208" s="134"/>
      <c r="M208" s="134"/>
      <c r="N208" s="134"/>
      <c r="O208" s="134"/>
      <c r="P208" s="134"/>
      <c r="Q208" s="13" t="s">
        <v>12</v>
      </c>
      <c r="R208" s="13">
        <f>+R207*0.75</f>
        <v>620.77319291926904</v>
      </c>
      <c r="S208" s="13" t="s">
        <v>8</v>
      </c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</row>
    <row r="209" spans="1:58" ht="18" x14ac:dyDescent="0.35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" t="s">
        <v>57</v>
      </c>
      <c r="R209" s="13">
        <f>C7*C14-C7*(T204*0.7071/12*T204*0.7071/2/12)*C21/12*0.15</f>
        <v>105.19456144503448</v>
      </c>
      <c r="S209" s="13" t="s">
        <v>8</v>
      </c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</row>
    <row r="210" spans="1:58" ht="18" x14ac:dyDescent="0.35">
      <c r="J210" s="134"/>
      <c r="K210" s="134"/>
      <c r="L210" s="134"/>
      <c r="M210" s="134"/>
      <c r="N210" s="134"/>
      <c r="O210" s="134"/>
      <c r="P210" s="134"/>
      <c r="Q210" s="13" t="s">
        <v>14</v>
      </c>
      <c r="R210" s="13">
        <f>+R209/R208</f>
        <v>0.16945731975045986</v>
      </c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</row>
    <row r="211" spans="1:58" x14ac:dyDescent="0.25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</row>
    <row r="212" spans="1:58" x14ac:dyDescent="0.25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</row>
    <row r="213" spans="1:58" x14ac:dyDescent="0.25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</row>
    <row r="214" spans="1:58" x14ac:dyDescent="0.25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</row>
    <row r="215" spans="1:58" x14ac:dyDescent="0.25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</row>
    <row r="216" spans="1:58" x14ac:dyDescent="0.25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</row>
    <row r="217" spans="1:58" x14ac:dyDescent="0.25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</row>
    <row r="218" spans="1:58" x14ac:dyDescent="0.25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</row>
    <row r="219" spans="1:58" x14ac:dyDescent="0.25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</row>
    <row r="220" spans="1:58" x14ac:dyDescent="0.25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</row>
    <row r="221" spans="1:58" x14ac:dyDescent="0.25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</row>
    <row r="261" spans="1:6" ht="18.75" x14ac:dyDescent="0.3">
      <c r="A261" s="140"/>
    </row>
    <row r="263" spans="1:6" x14ac:dyDescent="0.25">
      <c r="B263" s="141"/>
      <c r="D263" s="141"/>
    </row>
    <row r="264" spans="1:6" x14ac:dyDescent="0.25">
      <c r="B264" s="141"/>
      <c r="D264" s="141"/>
    </row>
    <row r="265" spans="1:6" x14ac:dyDescent="0.25">
      <c r="D265" s="141"/>
      <c r="F265" s="141"/>
    </row>
    <row r="266" spans="1:6" x14ac:dyDescent="0.25">
      <c r="D266" s="141"/>
      <c r="F266" s="141"/>
    </row>
    <row r="267" spans="1:6" x14ac:dyDescent="0.25">
      <c r="B267" s="141"/>
      <c r="C267" s="141"/>
      <c r="D267" s="141"/>
      <c r="E267" s="141"/>
      <c r="F267" s="141"/>
    </row>
    <row r="268" spans="1:6" x14ac:dyDescent="0.25">
      <c r="B268" s="141"/>
      <c r="C268" s="141"/>
      <c r="D268" s="141"/>
      <c r="E268" s="141"/>
      <c r="F268" s="141"/>
    </row>
    <row r="269" spans="1:6" x14ac:dyDescent="0.25">
      <c r="B269" s="141"/>
      <c r="C269" s="141"/>
      <c r="D269" s="141"/>
      <c r="E269" s="141"/>
    </row>
    <row r="273" spans="1:1" ht="18.75" x14ac:dyDescent="0.3">
      <c r="A273" s="140"/>
    </row>
  </sheetData>
  <dataValidations count="9">
    <dataValidation type="list" allowBlank="1" showInputMessage="1" showErrorMessage="1" sqref="C16">
      <formula1>$O$11:$O$13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Not permitted!" sqref="C8">
      <formula1>$M$1:$M$3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37" man="1"/>
    <brk id="85" max="37" man="1"/>
    <brk id="126" max="37" man="1"/>
    <brk id="167" max="37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230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16.590060000000001</v>
      </c>
    </row>
    <row r="20" spans="1:17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12.566000000000001</v>
      </c>
    </row>
    <row r="21" spans="1:17" ht="18" x14ac:dyDescent="0.35">
      <c r="A21" s="34"/>
      <c r="B21" s="36" t="s">
        <v>397</v>
      </c>
      <c r="C21" s="84">
        <v>51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1.1279999999999999</v>
      </c>
      <c r="M21" s="16" t="s">
        <v>20</v>
      </c>
      <c r="N21" s="16" t="s">
        <v>36</v>
      </c>
      <c r="P21" s="16">
        <f>+IF(C25&lt;9,(C25/8),IF(C25=9,1.128,IF(C25=10,1.27,IF(C25=11,1.41,IF(C25=14,1.693,0)))))</f>
        <v>1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2*C19/12+2*C18</f>
        <v>14.5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0.99929858399999982</v>
      </c>
      <c r="M22" s="16" t="s">
        <v>34</v>
      </c>
      <c r="N22" s="16" t="s">
        <v>37</v>
      </c>
      <c r="P22" s="16">
        <f>3.1415*P21^2/4</f>
        <v>0.78537500000000005</v>
      </c>
      <c r="Q22" s="16" t="s">
        <v>34</v>
      </c>
    </row>
    <row r="23" spans="1:17" x14ac:dyDescent="0.25">
      <c r="A23" s="34"/>
      <c r="B23" s="36" t="s">
        <v>399</v>
      </c>
      <c r="C23" s="122">
        <f>2*C19/12+C18*2*0.8661</f>
        <v>12.8932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9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8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40.436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41.5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41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122</v>
      </c>
      <c r="B31" s="37"/>
      <c r="C31" s="37"/>
      <c r="D31" s="37"/>
      <c r="E31" s="49" t="str">
        <f>+IF(C64&gt;C62,"NG; select smaller bar size","OK")</f>
        <v>NG; select smaller bar size</v>
      </c>
      <c r="F31" s="37"/>
      <c r="G31" s="37"/>
      <c r="H31" s="37"/>
      <c r="I31" s="38"/>
      <c r="J31" s="50" t="s">
        <v>84</v>
      </c>
    </row>
    <row r="32" spans="1:17" x14ac:dyDescent="0.25">
      <c r="A32" s="34" t="s">
        <v>123</v>
      </c>
      <c r="B32" s="37"/>
      <c r="C32" s="37"/>
      <c r="D32" s="37"/>
      <c r="E32" s="49" t="str">
        <f>+IF(C82&gt;C80,"NG; select smaller bar size","OK")</f>
        <v>NG; select smaller bar size</v>
      </c>
      <c r="F32" s="37"/>
      <c r="G32" s="37"/>
      <c r="H32" s="37"/>
      <c r="I32" s="38"/>
      <c r="J32" s="16" t="s">
        <v>1</v>
      </c>
      <c r="M32" s="16">
        <f>+C28</f>
        <v>41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20.5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61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7856.8915000000006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applicable",IF(G140&lt;1,"OK","NG"))</f>
        <v>Not applicable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13.656775797029058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1987.6537975053463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1490.7403481290098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107.29980567708333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7.197752835478867E-2</v>
      </c>
    </row>
    <row r="41" spans="1:25" ht="18" x14ac:dyDescent="0.35">
      <c r="A41" s="34"/>
      <c r="B41" s="59" t="s">
        <v>22</v>
      </c>
      <c r="C41" s="60">
        <f>C7*8*C14-C7*C22*C23*C21/12*0.15</f>
        <v>833.309572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14.433550949090803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15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C7*C14*(3*(C18*12*0.866+C12-C43/4))-C7*(C23/2-C43/12/4)*C22*C21/12*0.15*(C23/2-C43/12/4)*12/2</f>
        <v>20316.131797440601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1401.1125377545243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40.436</v>
      </c>
      <c r="D48" s="39" t="s">
        <v>0</v>
      </c>
      <c r="E48" s="37"/>
      <c r="F48" s="37"/>
      <c r="G48" s="37"/>
      <c r="H48" s="37"/>
      <c r="I48" s="38"/>
    </row>
    <row r="49" spans="1:9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0.66190624894917605</v>
      </c>
      <c r="D49" s="39" t="s">
        <v>406</v>
      </c>
      <c r="E49" s="37"/>
      <c r="F49" s="37"/>
      <c r="G49" s="37"/>
      <c r="H49" s="37"/>
      <c r="I49" s="38"/>
    </row>
    <row r="50" spans="1:9" ht="18" x14ac:dyDescent="0.35">
      <c r="A50" s="34"/>
      <c r="B50" s="36" t="s">
        <v>38</v>
      </c>
      <c r="C50" s="61">
        <f>+C49*C22</f>
        <v>9.5976406097630527</v>
      </c>
      <c r="D50" s="39" t="s">
        <v>407</v>
      </c>
      <c r="E50" s="37"/>
      <c r="F50" s="37"/>
      <c r="G50" s="37"/>
      <c r="H50" s="37"/>
      <c r="I50" s="38"/>
    </row>
    <row r="51" spans="1:9" ht="18" x14ac:dyDescent="0.35">
      <c r="A51" s="34"/>
      <c r="B51" s="36" t="s">
        <v>42</v>
      </c>
      <c r="C51" s="61">
        <f>+C50*4/3</f>
        <v>12.796854146350737</v>
      </c>
      <c r="D51" s="39" t="s">
        <v>407</v>
      </c>
      <c r="E51" s="37"/>
      <c r="F51" s="37"/>
      <c r="G51" s="37"/>
      <c r="H51" s="37"/>
      <c r="I51" s="38"/>
    </row>
    <row r="52" spans="1:9" ht="18.75" x14ac:dyDescent="0.35">
      <c r="A52" s="34"/>
      <c r="B52" s="36" t="s">
        <v>420</v>
      </c>
      <c r="C52" s="61">
        <f>3*(C10*1000)^0.5*C22*12*C48/C11/1000</f>
        <v>22.249355547182926</v>
      </c>
      <c r="D52" s="39" t="s">
        <v>407</v>
      </c>
      <c r="E52" s="37"/>
      <c r="F52" s="37"/>
      <c r="G52" s="37"/>
      <c r="H52" s="37"/>
      <c r="I52" s="38"/>
    </row>
    <row r="53" spans="1:9" ht="18" x14ac:dyDescent="0.35">
      <c r="A53" s="34"/>
      <c r="B53" s="36" t="s">
        <v>421</v>
      </c>
      <c r="C53" s="61">
        <f>200*C22*12*C48/C11/1000</f>
        <v>23.45288</v>
      </c>
      <c r="D53" s="39" t="s">
        <v>407</v>
      </c>
      <c r="E53" s="37"/>
      <c r="F53" s="37"/>
      <c r="G53" s="37"/>
      <c r="H53" s="37"/>
      <c r="I53" s="38"/>
    </row>
    <row r="54" spans="1:9" ht="18" x14ac:dyDescent="0.35">
      <c r="A54" s="34"/>
      <c r="B54" s="36" t="s">
        <v>43</v>
      </c>
      <c r="C54" s="61">
        <f>+MAX(C52:C53)</f>
        <v>23.45288</v>
      </c>
      <c r="D54" s="39" t="s">
        <v>407</v>
      </c>
      <c r="E54" s="37"/>
      <c r="F54" s="37"/>
      <c r="G54" s="37"/>
      <c r="H54" s="37"/>
      <c r="I54" s="38"/>
    </row>
    <row r="55" spans="1:9" ht="18" x14ac:dyDescent="0.35">
      <c r="A55" s="34"/>
      <c r="B55" s="36" t="s">
        <v>408</v>
      </c>
      <c r="C55" s="61">
        <f>+IF(C11=60,0.0018*C22*12*C21,0.002*C22*12*C21)</f>
        <v>15.973199999999999</v>
      </c>
      <c r="D55" s="39" t="s">
        <v>407</v>
      </c>
      <c r="E55" s="37"/>
      <c r="F55" s="37"/>
      <c r="G55" s="37"/>
      <c r="H55" s="37"/>
      <c r="I55" s="38"/>
    </row>
    <row r="56" spans="1:9" ht="18" x14ac:dyDescent="0.35">
      <c r="A56" s="34"/>
      <c r="B56" s="36" t="s">
        <v>40</v>
      </c>
      <c r="C56" s="63">
        <f>+IF(C50&gt;C54,C50,IF(C51&gt;C54,C54,IF(C51&gt;C55,C51,C55)))</f>
        <v>15.973199999999999</v>
      </c>
      <c r="D56" s="39" t="s">
        <v>407</v>
      </c>
      <c r="E56" s="37"/>
      <c r="F56" s="37"/>
      <c r="G56" s="37"/>
      <c r="H56" s="37"/>
      <c r="I56" s="38"/>
    </row>
    <row r="57" spans="1:9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</row>
    <row r="58" spans="1:9" x14ac:dyDescent="0.25">
      <c r="A58" s="124"/>
      <c r="B58" s="65" t="s">
        <v>44</v>
      </c>
      <c r="C58" s="43">
        <f>+C22/C23</f>
        <v>1.1246238327180218</v>
      </c>
      <c r="D58" s="39"/>
      <c r="E58" s="37"/>
      <c r="F58" s="37"/>
      <c r="G58" s="37"/>
      <c r="H58" s="37"/>
      <c r="I58" s="38"/>
    </row>
    <row r="59" spans="1:9" ht="18" x14ac:dyDescent="0.35">
      <c r="A59" s="124"/>
      <c r="B59" s="65" t="s">
        <v>46</v>
      </c>
      <c r="C59" s="61">
        <f>2/(C58+1)</f>
        <v>0.94134310704846458</v>
      </c>
      <c r="D59" s="39"/>
      <c r="E59" s="37" t="s">
        <v>118</v>
      </c>
      <c r="F59" s="37"/>
      <c r="G59" s="37"/>
      <c r="H59" s="37"/>
      <c r="I59" s="38"/>
    </row>
    <row r="60" spans="1:9" ht="18.75" x14ac:dyDescent="0.35">
      <c r="A60" s="34"/>
      <c r="B60" s="36" t="s">
        <v>45</v>
      </c>
      <c r="C60" s="61">
        <f>+C50*C58*C59</f>
        <v>10.160608387597232</v>
      </c>
      <c r="D60" s="39" t="s">
        <v>34</v>
      </c>
      <c r="E60" s="37"/>
      <c r="F60" s="37"/>
      <c r="G60" s="37"/>
      <c r="H60" s="37"/>
      <c r="I60" s="38"/>
    </row>
    <row r="61" spans="1:9" ht="18.75" x14ac:dyDescent="0.35">
      <c r="A61" s="34"/>
      <c r="B61" s="36" t="s">
        <v>40</v>
      </c>
      <c r="C61" s="61">
        <f>+MAX(C60,C56)</f>
        <v>15.973199999999999</v>
      </c>
      <c r="D61" s="39" t="s">
        <v>34</v>
      </c>
      <c r="E61" s="37"/>
      <c r="F61" s="37"/>
      <c r="G61" s="37"/>
      <c r="H61" s="37"/>
      <c r="I61" s="38"/>
    </row>
    <row r="62" spans="1:9" x14ac:dyDescent="0.25">
      <c r="A62" s="34"/>
      <c r="B62" s="36" t="s">
        <v>409</v>
      </c>
      <c r="C62" s="44">
        <f>+C19-C12</f>
        <v>12</v>
      </c>
      <c r="D62" s="39" t="s">
        <v>0</v>
      </c>
      <c r="E62" s="37" t="s">
        <v>51</v>
      </c>
      <c r="F62" s="37"/>
      <c r="G62" s="37"/>
      <c r="H62" s="37"/>
      <c r="I62" s="38"/>
    </row>
    <row r="63" spans="1:9" ht="18" x14ac:dyDescent="0.35">
      <c r="A63" s="34"/>
      <c r="B63" s="36" t="s">
        <v>50</v>
      </c>
      <c r="C63" s="44">
        <v>1</v>
      </c>
      <c r="D63" s="39"/>
      <c r="E63" s="37" t="s">
        <v>49</v>
      </c>
      <c r="F63" s="37"/>
      <c r="G63" s="37"/>
      <c r="H63" s="37"/>
      <c r="I63" s="38"/>
    </row>
    <row r="64" spans="1:9" ht="18" x14ac:dyDescent="0.35">
      <c r="A64" s="34"/>
      <c r="B64" s="36" t="s">
        <v>47</v>
      </c>
      <c r="C64" s="61">
        <f>0.02*C63*C11*1000/(C10*1000)^0.5*L21*0.7</f>
        <v>14.981606642813713</v>
      </c>
      <c r="D64" s="39" t="s">
        <v>0</v>
      </c>
      <c r="E64" s="37" t="str">
        <f>+IF(C64&gt;C62,"NG; insufficient length available to develop hook","OK; sufficient length available to develop hook")</f>
        <v>NG; insufficient length available to develop hook</v>
      </c>
      <c r="F64" s="37"/>
      <c r="G64" s="37"/>
      <c r="H64" s="37"/>
      <c r="I64" s="38"/>
    </row>
    <row r="65" spans="1:9" x14ac:dyDescent="0.25">
      <c r="A65" s="34"/>
      <c r="B65" s="36" t="s">
        <v>410</v>
      </c>
      <c r="C65" s="66">
        <f>+C61/L22</f>
        <v>15.984411722132492</v>
      </c>
      <c r="D65" s="39"/>
      <c r="E65" s="37"/>
      <c r="F65" s="37"/>
      <c r="G65" s="37"/>
      <c r="H65" s="37"/>
      <c r="I65" s="38"/>
    </row>
    <row r="66" spans="1:9" x14ac:dyDescent="0.25">
      <c r="A66" s="34"/>
      <c r="B66" s="36" t="s">
        <v>411</v>
      </c>
      <c r="C66" s="84">
        <v>15</v>
      </c>
      <c r="D66" s="39"/>
      <c r="E66" s="37"/>
      <c r="F66" s="37"/>
      <c r="G66" s="37"/>
      <c r="H66" s="37"/>
      <c r="I66" s="38"/>
    </row>
    <row r="67" spans="1:9" x14ac:dyDescent="0.25">
      <c r="A67" s="34"/>
      <c r="B67" s="37"/>
      <c r="C67" s="37"/>
      <c r="D67" s="37"/>
      <c r="E67" s="37"/>
      <c r="F67" s="37"/>
      <c r="G67" s="37"/>
      <c r="H67" s="37"/>
      <c r="I67" s="38"/>
    </row>
    <row r="68" spans="1:9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9" ht="18" x14ac:dyDescent="0.35">
      <c r="A69" s="34"/>
      <c r="B69" s="36" t="s">
        <v>25</v>
      </c>
      <c r="C69" s="60">
        <f>C7*C14*(1*(C18*12/2+C12-C43/4))+C7*C14*(2*(C18*12+C12-C43/4))-C7*(C22/2-C43/12/4)*C23*C21/12*0.15*(C22/2-C43/12/4)*12/2</f>
        <v>18954.322041937499</v>
      </c>
      <c r="D69" s="39" t="s">
        <v>26</v>
      </c>
      <c r="E69" s="37" t="s">
        <v>117</v>
      </c>
      <c r="F69" s="37"/>
      <c r="G69" s="37"/>
      <c r="H69" s="37"/>
      <c r="I69" s="38"/>
    </row>
    <row r="70" spans="1:9" ht="18" x14ac:dyDescent="0.35">
      <c r="A70" s="34"/>
      <c r="B70" s="36" t="s">
        <v>25</v>
      </c>
      <c r="C70" s="68">
        <f>+C69/C23</f>
        <v>1470.1022276810643</v>
      </c>
      <c r="D70" s="39" t="s">
        <v>27</v>
      </c>
      <c r="E70" s="37" t="s">
        <v>28</v>
      </c>
      <c r="F70" s="37"/>
      <c r="G70" s="37"/>
      <c r="H70" s="37"/>
      <c r="I70" s="38"/>
    </row>
    <row r="71" spans="1:9" x14ac:dyDescent="0.25">
      <c r="A71" s="34"/>
      <c r="B71" s="36" t="s">
        <v>1</v>
      </c>
      <c r="C71" s="44">
        <f>+C21-C15-C16-P21/2</f>
        <v>41.5</v>
      </c>
      <c r="D71" s="39" t="s">
        <v>0</v>
      </c>
      <c r="E71" s="37"/>
      <c r="F71" s="37"/>
      <c r="G71" s="37"/>
      <c r="H71" s="37"/>
      <c r="I71" s="38"/>
    </row>
    <row r="72" spans="1:9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0.67670818761059692</v>
      </c>
      <c r="D72" s="39" t="s">
        <v>29</v>
      </c>
      <c r="E72" s="37"/>
      <c r="F72" s="37"/>
      <c r="G72" s="37"/>
      <c r="H72" s="37"/>
      <c r="I72" s="38"/>
    </row>
    <row r="73" spans="1:9" ht="18.75" x14ac:dyDescent="0.35">
      <c r="A73" s="34"/>
      <c r="B73" s="36" t="s">
        <v>38</v>
      </c>
      <c r="C73" s="61">
        <f>+C72*C23</f>
        <v>8.7249340045009482</v>
      </c>
      <c r="D73" s="39" t="s">
        <v>34</v>
      </c>
      <c r="E73" s="37"/>
      <c r="F73" s="37"/>
      <c r="G73" s="37"/>
      <c r="H73" s="37"/>
      <c r="I73" s="38"/>
    </row>
    <row r="74" spans="1:9" ht="18.75" x14ac:dyDescent="0.35">
      <c r="A74" s="34"/>
      <c r="B74" s="36" t="s">
        <v>42</v>
      </c>
      <c r="C74" s="61">
        <f>+C73*4/3</f>
        <v>11.633245339334598</v>
      </c>
      <c r="D74" s="39" t="s">
        <v>34</v>
      </c>
      <c r="E74" s="37"/>
      <c r="F74" s="37"/>
      <c r="G74" s="37"/>
      <c r="H74" s="37"/>
      <c r="I74" s="38"/>
    </row>
    <row r="75" spans="1:9" ht="18.75" x14ac:dyDescent="0.35">
      <c r="A75" s="34"/>
      <c r="B75" s="36" t="s">
        <v>420</v>
      </c>
      <c r="C75" s="61">
        <f>3*(C10*1000)^0.5*C23*12*C71/C11/1000</f>
        <v>20.304395407385311</v>
      </c>
      <c r="D75" s="39" t="s">
        <v>34</v>
      </c>
      <c r="E75" s="37"/>
      <c r="F75" s="37"/>
      <c r="G75" s="37"/>
      <c r="H75" s="37"/>
      <c r="I75" s="38"/>
    </row>
    <row r="76" spans="1:9" ht="18.75" x14ac:dyDescent="0.35">
      <c r="A76" s="34"/>
      <c r="B76" s="36" t="s">
        <v>421</v>
      </c>
      <c r="C76" s="61">
        <f>200*C23*12*C71/C11/1000</f>
        <v>21.402712000000001</v>
      </c>
      <c r="D76" s="39" t="s">
        <v>34</v>
      </c>
      <c r="E76" s="37"/>
      <c r="F76" s="37"/>
      <c r="G76" s="37"/>
      <c r="H76" s="37"/>
      <c r="I76" s="38"/>
    </row>
    <row r="77" spans="1:9" ht="18.75" x14ac:dyDescent="0.35">
      <c r="A77" s="34"/>
      <c r="B77" s="36" t="s">
        <v>43</v>
      </c>
      <c r="C77" s="61">
        <f>+MAX(C75:C76)</f>
        <v>21.402712000000001</v>
      </c>
      <c r="D77" s="39" t="s">
        <v>34</v>
      </c>
      <c r="E77" s="37"/>
      <c r="F77" s="37"/>
      <c r="G77" s="37"/>
      <c r="H77" s="37"/>
      <c r="I77" s="38"/>
    </row>
    <row r="78" spans="1:9" ht="18.75" x14ac:dyDescent="0.35">
      <c r="A78" s="34"/>
      <c r="B78" s="36" t="s">
        <v>408</v>
      </c>
      <c r="C78" s="61">
        <f>+IF(C11=60,0.0018*C23*12*C21,0.002*C23*12*C21)</f>
        <v>14.203149120000003</v>
      </c>
      <c r="D78" s="39" t="s">
        <v>34</v>
      </c>
      <c r="E78" s="37"/>
      <c r="F78" s="37"/>
      <c r="G78" s="37"/>
      <c r="H78" s="37"/>
      <c r="I78" s="38"/>
    </row>
    <row r="79" spans="1:9" ht="18.75" x14ac:dyDescent="0.35">
      <c r="A79" s="34"/>
      <c r="B79" s="36" t="s">
        <v>40</v>
      </c>
      <c r="C79" s="61">
        <f>+IF(C73&gt;C77,C73,IF(C74&gt;C77,C77,IF(C74&gt;C78,C74,C78)))</f>
        <v>14.203149120000003</v>
      </c>
      <c r="D79" s="39" t="s">
        <v>34</v>
      </c>
      <c r="E79" s="37"/>
      <c r="F79" s="37"/>
      <c r="G79" s="37"/>
      <c r="H79" s="37"/>
      <c r="I79" s="38"/>
    </row>
    <row r="80" spans="1:9" x14ac:dyDescent="0.25">
      <c r="A80" s="34"/>
      <c r="B80" s="36" t="s">
        <v>409</v>
      </c>
      <c r="C80" s="68">
        <f>+C19-C12</f>
        <v>12</v>
      </c>
      <c r="D80" s="39" t="s">
        <v>0</v>
      </c>
      <c r="E80" s="37" t="s">
        <v>51</v>
      </c>
      <c r="F80" s="37"/>
      <c r="G80" s="37"/>
      <c r="H80" s="37"/>
      <c r="I80" s="38"/>
    </row>
    <row r="81" spans="1:17" ht="18" x14ac:dyDescent="0.35">
      <c r="A81" s="34"/>
      <c r="B81" s="36" t="s">
        <v>50</v>
      </c>
      <c r="C81" s="44">
        <v>1</v>
      </c>
      <c r="D81" s="39"/>
      <c r="E81" s="37" t="s">
        <v>49</v>
      </c>
      <c r="F81" s="37"/>
      <c r="G81" s="37"/>
      <c r="H81" s="37"/>
      <c r="I81" s="38"/>
    </row>
    <row r="82" spans="1:17" ht="18" x14ac:dyDescent="0.35">
      <c r="A82" s="34"/>
      <c r="B82" s="36" t="s">
        <v>47</v>
      </c>
      <c r="C82" s="61">
        <f>0.02*C63*C11*1000/(C10*1000)^0.5*P21*0.7</f>
        <v>13.281566172707192</v>
      </c>
      <c r="D82" s="39" t="s">
        <v>0</v>
      </c>
      <c r="E82" s="37" t="str">
        <f>+IF(C82&gt;C80,"NG; insufficient length available to develop hook","OK; sufficient length available to develop hook")</f>
        <v>NG; insufficient length available to develop hook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18.084544478752189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14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28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41</v>
      </c>
      <c r="C87" s="39" t="s">
        <v>0</v>
      </c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+C18*12*0.866+C12</f>
        <v>65.352000000000004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20.5</v>
      </c>
      <c r="C88" s="39" t="s">
        <v>0</v>
      </c>
      <c r="F88" s="37"/>
      <c r="G88" s="70"/>
      <c r="H88" s="37"/>
      <c r="I88" s="38"/>
      <c r="J88" s="16" t="s">
        <v>231</v>
      </c>
      <c r="K88" s="51"/>
      <c r="L88" s="51"/>
      <c r="M88" s="51"/>
      <c r="N88" s="51"/>
      <c r="O88" s="51">
        <f>+C18*12/2+C12</f>
        <v>39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+IF(M86&gt;O89,0,IF(M86&gt;O87,4,IF(M86&gt;O88,6,8)))</f>
        <v>8</v>
      </c>
      <c r="G89" s="37"/>
      <c r="H89" s="37"/>
      <c r="I89" s="38"/>
      <c r="J89" s="16" t="s">
        <v>232</v>
      </c>
      <c r="K89" s="51"/>
      <c r="L89" s="51"/>
      <c r="M89" s="51"/>
      <c r="N89" s="51"/>
      <c r="O89" s="51">
        <f>+C18*12+C12</f>
        <v>75</v>
      </c>
      <c r="P89" s="16" t="s">
        <v>0</v>
      </c>
      <c r="Q89" s="16" t="s">
        <v>119</v>
      </c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</row>
    <row r="91" spans="1:17" ht="18" x14ac:dyDescent="0.35">
      <c r="A91" s="59" t="s">
        <v>11</v>
      </c>
      <c r="B91" s="68">
        <f>4*(B87+C43)</f>
        <v>224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252.98221281347034</v>
      </c>
      <c r="P91" s="16" t="s">
        <v>5</v>
      </c>
    </row>
    <row r="92" spans="1:17" ht="18.75" x14ac:dyDescent="0.35">
      <c r="A92" s="59" t="s">
        <v>7</v>
      </c>
      <c r="B92" s="68">
        <f>+B90*B91*B87/1000</f>
        <v>2323.3886424789116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1742.5414818591837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855.52290533333337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0.49096271982033018</v>
      </c>
      <c r="C95" s="39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48.5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41</v>
      </c>
      <c r="C99" s="39" t="s">
        <v>0</v>
      </c>
      <c r="F99" s="37"/>
      <c r="G99" s="37"/>
      <c r="H99" s="37"/>
      <c r="I99" s="38"/>
      <c r="J99" s="16" t="s">
        <v>222</v>
      </c>
      <c r="K99" s="51"/>
      <c r="L99" s="51"/>
      <c r="M99" s="51"/>
      <c r="N99" s="51"/>
      <c r="O99" s="51">
        <f>C18*12/2+C12</f>
        <v>39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+IF(M98&gt;O100,0,IF(M98&gt;O99,2,3))</f>
        <v>2</v>
      </c>
      <c r="G100" s="37"/>
      <c r="H100" s="37"/>
      <c r="I100" s="38"/>
      <c r="J100" s="16" t="s">
        <v>59</v>
      </c>
      <c r="K100" s="51"/>
      <c r="L100" s="51"/>
      <c r="M100" s="51"/>
      <c r="N100" s="51"/>
      <c r="O100" s="51">
        <f>C18*12+C12</f>
        <v>75</v>
      </c>
      <c r="P100" s="16" t="s">
        <v>0</v>
      </c>
      <c r="Q100" s="16" t="s">
        <v>119</v>
      </c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L101" s="16" t="s">
        <v>83</v>
      </c>
      <c r="O101" s="16">
        <f>+B101</f>
        <v>126.49110640673517</v>
      </c>
      <c r="P101" s="16" t="s">
        <v>5</v>
      </c>
    </row>
    <row r="102" spans="1:17" x14ac:dyDescent="0.25">
      <c r="A102" s="59" t="s">
        <v>61</v>
      </c>
      <c r="B102" s="68">
        <f>+C23*12*B99</f>
        <v>6343.4544000000005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802.39056549667248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601.79292412250436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213.80700300000001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0.35528334486777091</v>
      </c>
      <c r="C106" s="39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48.5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41</v>
      </c>
      <c r="C110" s="157" t="s">
        <v>0</v>
      </c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C18*12*0.866+C12</f>
        <v>65.352000000000004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+IF(M109&gt;O110,0,3)</f>
        <v>3</v>
      </c>
      <c r="G111" s="37"/>
      <c r="H111" s="37"/>
      <c r="I111" s="38"/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126.49110640673517</v>
      </c>
      <c r="P112" s="16" t="s">
        <v>5</v>
      </c>
    </row>
    <row r="113" spans="1:23" x14ac:dyDescent="0.25">
      <c r="A113" s="59" t="s">
        <v>61</v>
      </c>
      <c r="B113" s="68">
        <f>+C22*12*B110</f>
        <v>7134</v>
      </c>
      <c r="C113" s="157" t="s">
        <v>0</v>
      </c>
      <c r="D113" s="37"/>
      <c r="E113" s="37"/>
      <c r="F113" s="37"/>
      <c r="G113" s="37"/>
      <c r="H113" s="37"/>
      <c r="I113" s="38"/>
    </row>
    <row r="114" spans="1:23" ht="18.75" x14ac:dyDescent="0.35">
      <c r="A114" s="59" t="s">
        <v>7</v>
      </c>
      <c r="B114" s="68">
        <f>+B112*B113/1000</f>
        <v>902.38755310564875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23" ht="18" x14ac:dyDescent="0.35">
      <c r="A115" s="59" t="s">
        <v>12</v>
      </c>
      <c r="B115" s="68">
        <f>+B114*0.75</f>
        <v>676.79066482923656</v>
      </c>
      <c r="C115" s="39" t="s">
        <v>18</v>
      </c>
      <c r="D115" s="37"/>
      <c r="E115" s="37"/>
      <c r="F115" s="37"/>
      <c r="G115" s="37"/>
      <c r="H115" s="37"/>
      <c r="I115" s="38"/>
    </row>
    <row r="116" spans="1:23" ht="18" x14ac:dyDescent="0.35">
      <c r="A116" s="59" t="s">
        <v>57</v>
      </c>
      <c r="B116" s="68">
        <f>+E111*C14*C7-C7*0.15*C22*C23*C21/12*((C23/2-M109/12)/C23)</f>
        <v>348.43103600000001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23" ht="18" x14ac:dyDescent="0.35">
      <c r="A117" s="59" t="s">
        <v>14</v>
      </c>
      <c r="B117" s="63">
        <f>+B116/B115</f>
        <v>0.51482837176531371</v>
      </c>
      <c r="C117" s="157"/>
      <c r="D117" s="37"/>
      <c r="E117" s="37"/>
      <c r="F117" s="37"/>
      <c r="G117" s="37"/>
      <c r="H117" s="37"/>
      <c r="I117" s="38"/>
    </row>
    <row r="118" spans="1:23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23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23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23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23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23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23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23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23" ht="18" x14ac:dyDescent="0.3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  <c r="U126" s="37" t="s">
        <v>347</v>
      </c>
      <c r="V126" s="16">
        <f>+(B131+R130)/2</f>
        <v>44.676000000000002</v>
      </c>
      <c r="W126" s="16" t="s">
        <v>0</v>
      </c>
    </row>
    <row r="127" spans="1:23" ht="19.5" x14ac:dyDescent="0.35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  <c r="K127" s="16" t="s">
        <v>346</v>
      </c>
      <c r="U127" s="37" t="s">
        <v>13</v>
      </c>
      <c r="V127" s="37">
        <f>+C14*E130*C7-C7*0.15*C22*C23*C21/12+C7*0.15*(C43)/12*(C43)/12*C21/12</f>
        <v>834.903322</v>
      </c>
      <c r="W127" s="37" t="s">
        <v>8</v>
      </c>
    </row>
    <row r="128" spans="1:23" ht="18.75" x14ac:dyDescent="0.35">
      <c r="A128" s="59" t="s">
        <v>1</v>
      </c>
      <c r="B128" s="43">
        <f>+B87</f>
        <v>41</v>
      </c>
      <c r="C128" s="39" t="s">
        <v>0</v>
      </c>
      <c r="F128" s="37"/>
      <c r="G128" s="37"/>
      <c r="H128" s="37"/>
      <c r="I128" s="38"/>
      <c r="K128" s="16" t="str">
        <f>+IF(R130&gt;B129,"OK","NG, but answer conservative")</f>
        <v>OK</v>
      </c>
      <c r="U128" s="37" t="s">
        <v>3</v>
      </c>
      <c r="V128" s="37">
        <f>+B133</f>
        <v>252.98221281347034</v>
      </c>
      <c r="W128" s="37" t="s">
        <v>5</v>
      </c>
    </row>
    <row r="129" spans="1:23" ht="18.75" x14ac:dyDescent="0.35">
      <c r="A129" s="59" t="s">
        <v>53</v>
      </c>
      <c r="B129" s="63">
        <f>+B128/2</f>
        <v>20.5</v>
      </c>
      <c r="C129" s="39" t="s">
        <v>0</v>
      </c>
      <c r="F129" s="37"/>
      <c r="G129" s="37"/>
      <c r="H129" s="37"/>
      <c r="I129" s="38"/>
      <c r="U129" s="37" t="s">
        <v>4</v>
      </c>
      <c r="V129" s="37">
        <f>+V128*8</f>
        <v>2023.8577025077627</v>
      </c>
      <c r="W129" s="37" t="s">
        <v>5</v>
      </c>
    </row>
    <row r="130" spans="1:23" ht="18" x14ac:dyDescent="0.35">
      <c r="A130" s="59"/>
      <c r="B130" s="37"/>
      <c r="C130" s="37"/>
      <c r="D130" s="59" t="s">
        <v>453</v>
      </c>
      <c r="E130" s="72">
        <v>8</v>
      </c>
      <c r="G130" s="37"/>
      <c r="H130" s="37"/>
      <c r="I130" s="38"/>
      <c r="Q130" s="37" t="s">
        <v>16</v>
      </c>
      <c r="R130" s="16">
        <f>+C18*12*0.866-C43/2+C12</f>
        <v>57.851999999999997</v>
      </c>
      <c r="S130" s="16" t="s">
        <v>0</v>
      </c>
      <c r="U130" s="37" t="s">
        <v>11</v>
      </c>
      <c r="V130" s="37">
        <f>+B135</f>
        <v>224</v>
      </c>
      <c r="W130" s="37" t="s">
        <v>0</v>
      </c>
    </row>
    <row r="131" spans="1:23" ht="18" x14ac:dyDescent="0.35">
      <c r="A131" s="59" t="s">
        <v>452</v>
      </c>
      <c r="B131" s="43">
        <f>+C18*12/2-C43/2+C12</f>
        <v>31.5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  <c r="Q131" s="37" t="s">
        <v>13</v>
      </c>
      <c r="R131" s="37">
        <f>+C14*E130*C7-C7*0.15*C22*C23*C21/12+C7*0.15*(C43)/12*(C43)/12*C21/12</f>
        <v>834.903322</v>
      </c>
      <c r="S131" s="37" t="s">
        <v>8</v>
      </c>
      <c r="T131" s="37"/>
      <c r="U131" s="37" t="s">
        <v>2</v>
      </c>
      <c r="V131" s="37">
        <f>+B136</f>
        <v>60</v>
      </c>
      <c r="W131" s="37" t="s">
        <v>0</v>
      </c>
    </row>
    <row r="132" spans="1:23" ht="18.75" x14ac:dyDescent="0.35">
      <c r="A132" s="154" t="s">
        <v>57</v>
      </c>
      <c r="B132" s="68">
        <f>+C14*E130*C7-C7*0.15*C22*C23*C21/12+C7*0.15*(C43)/12*(C43)/12*C21/12</f>
        <v>834.903322</v>
      </c>
      <c r="C132" s="39" t="s">
        <v>18</v>
      </c>
      <c r="D132" s="37"/>
      <c r="E132" s="37"/>
      <c r="F132" s="37"/>
      <c r="G132" s="37"/>
      <c r="H132" s="37"/>
      <c r="I132" s="38"/>
      <c r="Q132" s="37" t="s">
        <v>3</v>
      </c>
      <c r="R132" s="37">
        <f>+B133</f>
        <v>252.98221281347034</v>
      </c>
      <c r="S132" s="37" t="s">
        <v>5</v>
      </c>
      <c r="T132" s="37"/>
      <c r="U132" s="37" t="s">
        <v>6</v>
      </c>
      <c r="V132" s="37">
        <f>IF(2*B128/V126*(1+B128/C43)&lt;32,2*B128/V126*(1+B128/C43),32)</f>
        <v>6.8522995195033873</v>
      </c>
      <c r="W132" s="37"/>
    </row>
    <row r="133" spans="1:23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  <c r="Q133" s="37" t="s">
        <v>4</v>
      </c>
      <c r="R133" s="37">
        <f>+R132*8</f>
        <v>2023.8577025077627</v>
      </c>
      <c r="S133" s="37" t="s">
        <v>5</v>
      </c>
      <c r="T133" s="37"/>
      <c r="U133" s="34" t="s">
        <v>7</v>
      </c>
      <c r="V133" s="37">
        <f>+V132*(C10*1000)^0.5*V131*B128/1000</f>
        <v>1066.1085856123575</v>
      </c>
      <c r="W133" s="37" t="s">
        <v>8</v>
      </c>
    </row>
    <row r="134" spans="1:23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  <c r="Q134" s="37" t="s">
        <v>11</v>
      </c>
      <c r="R134" s="37">
        <f>+B135</f>
        <v>224</v>
      </c>
      <c r="S134" s="37" t="s">
        <v>0</v>
      </c>
      <c r="T134" s="37"/>
      <c r="U134" s="34" t="s">
        <v>12</v>
      </c>
      <c r="V134" s="37">
        <f>+V133*0.75</f>
        <v>799.58143920926818</v>
      </c>
      <c r="W134" s="37" t="s">
        <v>8</v>
      </c>
    </row>
    <row r="135" spans="1:23" ht="18" x14ac:dyDescent="0.35">
      <c r="A135" s="59" t="s">
        <v>11</v>
      </c>
      <c r="B135" s="61">
        <f>4*(B128+C43)</f>
        <v>224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614.65308002087602</v>
      </c>
      <c r="P135" s="16" t="s">
        <v>5</v>
      </c>
      <c r="Q135" s="37" t="s">
        <v>2</v>
      </c>
      <c r="R135" s="37">
        <f>+B136</f>
        <v>60</v>
      </c>
      <c r="S135" s="37" t="s">
        <v>0</v>
      </c>
      <c r="T135" s="37"/>
      <c r="U135" s="34" t="s">
        <v>14</v>
      </c>
      <c r="V135" s="37">
        <f>+V127/V134</f>
        <v>1.0441754661359608</v>
      </c>
      <c r="W135" s="37"/>
    </row>
    <row r="136" spans="1:23" ht="18" x14ac:dyDescent="0.35">
      <c r="A136" s="59" t="s">
        <v>2</v>
      </c>
      <c r="B136" s="61">
        <f>4*C43</f>
        <v>60</v>
      </c>
      <c r="C136" s="39" t="s">
        <v>0</v>
      </c>
      <c r="D136" s="37"/>
      <c r="E136" s="37"/>
      <c r="F136" s="37"/>
      <c r="G136" s="37"/>
      <c r="H136" s="37"/>
      <c r="I136" s="38"/>
      <c r="Q136" s="37" t="s">
        <v>6</v>
      </c>
      <c r="R136" s="37">
        <f>IF(2*B128/R130*(1+B128/C43)&lt;32,2*B128/R130*(1+B128/C43),32)</f>
        <v>5.2916637857521494</v>
      </c>
      <c r="S136" s="37"/>
      <c r="T136" s="37" t="s">
        <v>9</v>
      </c>
      <c r="U136" s="37"/>
    </row>
    <row r="137" spans="1:23" ht="18.75" x14ac:dyDescent="0.35">
      <c r="A137" s="59" t="s">
        <v>6</v>
      </c>
      <c r="B137" s="61">
        <f>IF(2*B128/B131*(1+B128/C43)&lt;32,2*B128/B131*(1+B128/C43),32)</f>
        <v>9.7185185185185183</v>
      </c>
      <c r="C137" s="39"/>
      <c r="D137" s="37" t="s">
        <v>9</v>
      </c>
      <c r="E137" s="37"/>
      <c r="F137" s="37"/>
      <c r="G137" s="37"/>
      <c r="H137" s="37"/>
      <c r="I137" s="38"/>
      <c r="Q137" s="34" t="s">
        <v>7</v>
      </c>
      <c r="R137" s="37">
        <f>+R136*(C10*1000)^0.5*R135*B128/1000</f>
        <v>823.29854060045795</v>
      </c>
      <c r="S137" s="37" t="s">
        <v>8</v>
      </c>
      <c r="T137" s="37" t="s">
        <v>10</v>
      </c>
      <c r="U137" s="37"/>
    </row>
    <row r="138" spans="1:23" ht="18.75" x14ac:dyDescent="0.35">
      <c r="A138" s="59" t="s">
        <v>7</v>
      </c>
      <c r="B138" s="68">
        <f>+B137*(C10*1000)^0.5*B136*B128/1000</f>
        <v>1512.046576851355</v>
      </c>
      <c r="C138" s="39" t="s">
        <v>18</v>
      </c>
      <c r="D138" s="37" t="s">
        <v>10</v>
      </c>
      <c r="E138" s="37"/>
      <c r="F138" s="37"/>
      <c r="G138" s="37"/>
      <c r="H138" s="37"/>
      <c r="I138" s="38"/>
      <c r="Q138" s="34" t="s">
        <v>12</v>
      </c>
      <c r="R138" s="37">
        <f>+R137*0.75</f>
        <v>617.47390545034341</v>
      </c>
      <c r="S138" s="37" t="s">
        <v>8</v>
      </c>
      <c r="T138" s="37"/>
      <c r="U138" s="37"/>
    </row>
    <row r="139" spans="1:23" ht="18" x14ac:dyDescent="0.35">
      <c r="A139" s="59" t="s">
        <v>12</v>
      </c>
      <c r="B139" s="68">
        <f>+B138*0.75</f>
        <v>1134.0349326385162</v>
      </c>
      <c r="C139" s="39" t="s">
        <v>18</v>
      </c>
      <c r="D139" s="37"/>
      <c r="E139" s="37"/>
      <c r="F139" s="37"/>
      <c r="G139" s="37"/>
      <c r="H139" s="37"/>
      <c r="I139" s="38"/>
      <c r="Q139" s="34" t="s">
        <v>14</v>
      </c>
      <c r="R139" s="37">
        <f>+R131/R138</f>
        <v>1.3521272957941086</v>
      </c>
      <c r="S139" s="37"/>
      <c r="T139" s="37"/>
      <c r="U139" s="37"/>
    </row>
    <row r="140" spans="1:23" ht="18" x14ac:dyDescent="0.35">
      <c r="A140" s="59" t="s">
        <v>14</v>
      </c>
      <c r="B140" s="63">
        <f>+B132/B139</f>
        <v>0.73622363647781286</v>
      </c>
      <c r="C140" s="37"/>
      <c r="D140" s="130" t="s">
        <v>233</v>
      </c>
      <c r="F140" s="16" t="s">
        <v>14</v>
      </c>
      <c r="G140" s="80">
        <f>+(B140+R139)/2</f>
        <v>1.0441754661359608</v>
      </c>
      <c r="H140" s="37"/>
      <c r="I140" s="38"/>
    </row>
    <row r="141" spans="1:23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23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23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23" x14ac:dyDescent="0.25">
      <c r="A144" s="59" t="s">
        <v>1</v>
      </c>
      <c r="B144" s="40">
        <f>+C21-C15-C16-P21/2</f>
        <v>41.5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+C18*12/2-C43/2+C12</f>
        <v>31.5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0.75903614457831325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3*C7*C14-C7*0.15*C22*C23*C21/12*((C22/2-C43/2/12)/C22)</f>
        <v>296.87420100000008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C7*C14*(1*B145)+C7*C14*(2*(B145+C18/2*12))-C7*0.15*C22*C23*C21/12*((C22/2-C43/2/12)/C22)*(C22/2-C43/2/12)*12/2</f>
        <v>17848.74948975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-19.987065930223206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0.69026008508748293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1.4487292856768053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-0.3160232604172869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-96.249918561655363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-3.0844098928751786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40.436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+C18*12*0.866-C43/2+C12</f>
        <v>57.851999999999997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1.4307053120981303</v>
      </c>
      <c r="C159" s="39"/>
      <c r="D159" s="70" t="str">
        <f>+IF(B159&lt;1,"OK, this limit state should be checked","Limit state not applicable")</f>
        <v>Limit state not applicable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3*C7*C14-C7*0.15*C22*C23*C21/12*((C23/2-C43/2/12)/C23)</f>
        <v>297.89853600000004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C7*C14*(3*B158)-C7*0.15*C22*C23*C21/12*((C23/2-C43/2/12)/C23)*(C23/2-C43/2/12)*12/2</f>
        <v>19207.678303065597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-42.199704721497845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0.62713593031040382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1.5945506415252677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-0.66723591753247358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-222.68353744546252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-1.3377663181453565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41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20.5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29.427535185185185</v>
      </c>
      <c r="C170" s="114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61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7856.8915000000006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13.656775797029058</v>
      </c>
      <c r="AF172" s="16" t="s">
        <v>5</v>
      </c>
    </row>
    <row r="173" spans="1:32" ht="18.75" x14ac:dyDescent="0.35">
      <c r="A173" s="34"/>
      <c r="B173" s="40">
        <f>+C66</f>
        <v>15</v>
      </c>
      <c r="C173" s="39" t="s">
        <v>70</v>
      </c>
      <c r="D173" s="72" t="str">
        <f>"#"&amp;+C24</f>
        <v>#9</v>
      </c>
      <c r="E173" s="37" t="s">
        <v>71</v>
      </c>
      <c r="F173" s="37" t="s">
        <v>72</v>
      </c>
      <c r="G173" s="43">
        <f>+C23-0.5</f>
        <v>12.3932</v>
      </c>
      <c r="H173" s="39" t="s">
        <v>73</v>
      </c>
      <c r="I173" s="38"/>
      <c r="Q173" s="16" t="s">
        <v>7</v>
      </c>
      <c r="R173" s="16">
        <f>+R172*T171/1000</f>
        <v>1987.6537975053463</v>
      </c>
      <c r="S173" s="16" t="s">
        <v>8</v>
      </c>
      <c r="T173" s="16" t="s">
        <v>87</v>
      </c>
    </row>
    <row r="174" spans="1:32" ht="18" x14ac:dyDescent="0.35">
      <c r="A174" s="34"/>
      <c r="B174" s="44">
        <f>+B173*2</f>
        <v>30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1.3825050000000001</v>
      </c>
      <c r="H174" s="39" t="s">
        <v>73</v>
      </c>
      <c r="I174" s="38"/>
      <c r="Q174" s="16" t="s">
        <v>12</v>
      </c>
      <c r="R174" s="16">
        <f>+R173*0.75</f>
        <v>1490.7403481290098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773.15761631224711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107.29980567708333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7.197752835478867E-2</v>
      </c>
    </row>
    <row r="177" spans="1:32" x14ac:dyDescent="0.25">
      <c r="A177" s="34"/>
      <c r="B177" s="40">
        <f>+C84</f>
        <v>14</v>
      </c>
      <c r="C177" s="39" t="s">
        <v>70</v>
      </c>
      <c r="D177" s="72" t="str">
        <f>"#"&amp;+C25</f>
        <v>#8</v>
      </c>
      <c r="E177" s="37" t="s">
        <v>71</v>
      </c>
      <c r="F177" s="37" t="s">
        <v>72</v>
      </c>
      <c r="G177" s="43">
        <f>+C22-0.5</f>
        <v>14</v>
      </c>
      <c r="H177" s="39" t="s">
        <v>73</v>
      </c>
      <c r="I177" s="38"/>
    </row>
    <row r="178" spans="1:32" ht="18.75" x14ac:dyDescent="0.3">
      <c r="A178" s="34"/>
      <c r="B178" s="44">
        <f>+B177*2</f>
        <v>28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1.0471666666666668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602.15970212384264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41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20.5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1375.3173184360899</v>
      </c>
      <c r="D181" s="39" t="s">
        <v>78</v>
      </c>
      <c r="E181" s="37" t="s">
        <v>79</v>
      </c>
      <c r="F181" s="80">
        <f>+C181/2000</f>
        <v>0.68765865921804492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191.63150000000002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13760.891500000002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14.838414042947965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3481.2607819560758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2610.9455864670567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204.18980567708331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7.8205308733905188E-2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41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20.5</v>
      </c>
      <c r="U192" s="16" t="s">
        <v>0</v>
      </c>
      <c r="W192" s="51"/>
    </row>
    <row r="193" spans="1:54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77.907875000000004</v>
      </c>
      <c r="U193" s="16" t="s">
        <v>0</v>
      </c>
      <c r="V193" s="51"/>
      <c r="W193" s="51"/>
    </row>
    <row r="194" spans="1:54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3194.2228750000004</v>
      </c>
      <c r="U194" s="16" t="s">
        <v>34</v>
      </c>
    </row>
    <row r="195" spans="1:54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35.924215657390789</v>
      </c>
      <c r="AF195" s="16" t="s">
        <v>5</v>
      </c>
    </row>
    <row r="196" spans="1:54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808.08157113690515</v>
      </c>
      <c r="S196" s="16" t="s">
        <v>8</v>
      </c>
      <c r="T196" s="16" t="s">
        <v>87</v>
      </c>
    </row>
    <row r="197" spans="1:54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606.06117835267889</v>
      </c>
      <c r="S197" s="16" t="s">
        <v>8</v>
      </c>
    </row>
    <row r="198" spans="1:54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114.74995141927083</v>
      </c>
      <c r="S198" s="16" t="s">
        <v>8</v>
      </c>
      <c r="T198" s="16" t="s">
        <v>344</v>
      </c>
    </row>
    <row r="199" spans="1:54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0.18933724105406333</v>
      </c>
      <c r="T199" s="16" t="s">
        <v>145</v>
      </c>
      <c r="V199" s="16">
        <f>+(C19*C19+C19*T170+3.1415*T170^2/4/4)/144</f>
        <v>12.990243706597223</v>
      </c>
      <c r="W199" s="16" t="s">
        <v>146</v>
      </c>
    </row>
    <row r="200" spans="1:54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54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54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41</v>
      </c>
      <c r="U202" s="16" t="s">
        <v>0</v>
      </c>
      <c r="V202" s="16" t="s">
        <v>52</v>
      </c>
      <c r="W202" s="51"/>
    </row>
    <row r="203" spans="1:54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54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54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3625.4659999999994</v>
      </c>
      <c r="U205" s="16" t="s">
        <v>34</v>
      </c>
    </row>
    <row r="206" spans="1:54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31.486667059446255</v>
      </c>
      <c r="AF206" s="16" t="s">
        <v>5</v>
      </c>
    </row>
    <row r="207" spans="1:54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458.58920558000045</v>
      </c>
      <c r="S207" s="16" t="s">
        <v>8</v>
      </c>
      <c r="T207" s="16" t="s">
        <v>93</v>
      </c>
    </row>
    <row r="208" spans="1:54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J208" s="37"/>
      <c r="K208" s="37"/>
      <c r="L208" s="37"/>
      <c r="M208" s="37"/>
      <c r="N208" s="37"/>
      <c r="O208" s="37"/>
      <c r="P208" s="37"/>
      <c r="Q208" s="16" t="s">
        <v>12</v>
      </c>
      <c r="R208" s="16">
        <f>+R207*0.75</f>
        <v>343.94190418500034</v>
      </c>
      <c r="S208" s="16" t="s">
        <v>8</v>
      </c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</row>
    <row r="209" spans="1:54" ht="18" x14ac:dyDescent="0.35">
      <c r="J209" s="37"/>
      <c r="K209" s="37"/>
      <c r="L209" s="37"/>
      <c r="M209" s="37"/>
      <c r="N209" s="37"/>
      <c r="O209" s="37"/>
      <c r="P209" s="37"/>
      <c r="Q209" s="16" t="s">
        <v>57</v>
      </c>
      <c r="R209" s="16">
        <f>C7*C14-C7*(T204*0.7071/12*T204*0.7071/2/12)*C21/12*0.15</f>
        <v>114.15384087734236</v>
      </c>
      <c r="S209" s="16" t="s">
        <v>8</v>
      </c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</row>
    <row r="210" spans="1:54" ht="18" x14ac:dyDescent="0.3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16" t="s">
        <v>14</v>
      </c>
      <c r="R210" s="16">
        <f>+R209/R208</f>
        <v>0.331898612784155</v>
      </c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</row>
    <row r="211" spans="1:54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</row>
    <row r="212" spans="1:54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</row>
    <row r="213" spans="1:54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</row>
    <row r="214" spans="1:54" x14ac:dyDescent="0.25">
      <c r="A214" s="37"/>
      <c r="B214" s="37"/>
      <c r="C214" s="37"/>
      <c r="D214" s="37"/>
      <c r="E214" s="37"/>
      <c r="F214" s="37"/>
      <c r="G214" s="37"/>
      <c r="H214" s="37"/>
      <c r="I214" s="37"/>
    </row>
    <row r="215" spans="1:54" x14ac:dyDescent="0.25">
      <c r="A215" s="37"/>
      <c r="B215" s="37"/>
      <c r="C215" s="37"/>
      <c r="D215" s="37"/>
      <c r="E215" s="37"/>
      <c r="F215" s="37"/>
      <c r="G215" s="37"/>
      <c r="H215" s="37"/>
      <c r="I215" s="37"/>
    </row>
    <row r="216" spans="1:54" x14ac:dyDescent="0.25">
      <c r="A216" s="37"/>
      <c r="B216" s="37"/>
      <c r="C216" s="37"/>
      <c r="D216" s="37"/>
      <c r="E216" s="37"/>
      <c r="F216" s="37"/>
      <c r="G216" s="37"/>
      <c r="H216" s="37"/>
      <c r="I216" s="37"/>
    </row>
    <row r="217" spans="1:54" x14ac:dyDescent="0.25">
      <c r="A217" s="37"/>
      <c r="B217" s="37"/>
      <c r="C217" s="37"/>
      <c r="D217" s="37"/>
      <c r="E217" s="37"/>
      <c r="F217" s="37"/>
      <c r="G217" s="37"/>
      <c r="H217" s="37"/>
      <c r="I217" s="37"/>
    </row>
    <row r="218" spans="1:54" x14ac:dyDescent="0.25">
      <c r="A218" s="37"/>
      <c r="B218" s="37"/>
      <c r="C218" s="37"/>
      <c r="D218" s="37"/>
      <c r="E218" s="37"/>
      <c r="F218" s="37"/>
      <c r="G218" s="37"/>
      <c r="H218" s="37"/>
      <c r="I218" s="37"/>
    </row>
    <row r="261" spans="1:6" ht="18.75" x14ac:dyDescent="0.3">
      <c r="A261" s="50"/>
    </row>
    <row r="263" spans="1:6" x14ac:dyDescent="0.25">
      <c r="B263" s="51"/>
      <c r="D263" s="51"/>
    </row>
    <row r="264" spans="1:6" x14ac:dyDescent="0.25">
      <c r="B264" s="51"/>
      <c r="D264" s="51"/>
    </row>
    <row r="265" spans="1:6" x14ac:dyDescent="0.25">
      <c r="D265" s="51"/>
      <c r="F265" s="51"/>
    </row>
    <row r="266" spans="1:6" x14ac:dyDescent="0.25">
      <c r="D266" s="51"/>
      <c r="F266" s="51"/>
    </row>
    <row r="267" spans="1:6" x14ac:dyDescent="0.25">
      <c r="B267" s="51"/>
      <c r="C267" s="51"/>
      <c r="D267" s="51"/>
      <c r="E267" s="51"/>
      <c r="F267" s="51"/>
    </row>
    <row r="268" spans="1:6" x14ac:dyDescent="0.25">
      <c r="B268" s="51"/>
      <c r="C268" s="51"/>
      <c r="D268" s="51"/>
      <c r="E268" s="51"/>
      <c r="F268" s="51"/>
    </row>
    <row r="269" spans="1:6" x14ac:dyDescent="0.25">
      <c r="B269" s="51"/>
      <c r="C269" s="51"/>
      <c r="D269" s="51"/>
      <c r="E269" s="51"/>
    </row>
    <row r="273" spans="1:1" ht="18.75" x14ac:dyDescent="0.3">
      <c r="A273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4" max="37" man="1"/>
    <brk id="85" max="37" man="1"/>
    <brk id="126" max="37" man="1"/>
    <brk id="167" max="37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227"/>
  <sheetViews>
    <sheetView zoomScaleNormal="100" workbookViewId="0"/>
  </sheetViews>
  <sheetFormatPr defaultRowHeight="15" x14ac:dyDescent="0.25"/>
  <cols>
    <col min="1" max="1" width="12" style="16" customWidth="1"/>
    <col min="2" max="2" width="14.5703125" style="16" customWidth="1"/>
    <col min="3" max="3" width="9.7109375" style="16" customWidth="1"/>
    <col min="4" max="6" width="9.140625" style="16"/>
    <col min="7" max="7" width="7.85546875" style="16" customWidth="1"/>
    <col min="8" max="9" width="9.140625" style="16"/>
    <col min="10" max="10" width="9.140625" style="16" hidden="1" customWidth="1"/>
    <col min="11" max="11" width="12.85546875" style="16" hidden="1" customWidth="1"/>
    <col min="12" max="12" width="15.5703125" style="16" hidden="1" customWidth="1"/>
    <col min="13" max="13" width="9.140625" style="16" hidden="1" customWidth="1"/>
    <col min="14" max="14" width="14.140625" style="16" hidden="1" customWidth="1"/>
    <col min="15" max="15" width="12.85546875" style="16" hidden="1" customWidth="1"/>
    <col min="16" max="27" width="9.140625" style="16" hidden="1" customWidth="1"/>
    <col min="28" max="28" width="27.85546875" style="16" hidden="1" customWidth="1"/>
    <col min="29" max="38" width="9.140625" style="16" hidden="1" customWidth="1"/>
    <col min="39" max="52" width="9.140625" style="16" customWidth="1"/>
    <col min="53" max="16384" width="9.140625" style="16"/>
  </cols>
  <sheetData>
    <row r="1" spans="1:17" ht="15.6" x14ac:dyDescent="0.35">
      <c r="A1" s="99" t="s">
        <v>201</v>
      </c>
      <c r="B1" s="100"/>
      <c r="C1" s="101"/>
      <c r="D1" s="101"/>
      <c r="E1" s="101"/>
      <c r="F1" s="101"/>
      <c r="G1" s="100"/>
      <c r="H1" s="100"/>
      <c r="I1" s="102"/>
      <c r="J1" s="31">
        <v>3</v>
      </c>
      <c r="K1" s="16">
        <v>60</v>
      </c>
      <c r="L1" s="16">
        <v>3</v>
      </c>
      <c r="M1" s="32" t="s">
        <v>102</v>
      </c>
      <c r="N1" s="16" t="s">
        <v>108</v>
      </c>
      <c r="O1" s="16">
        <v>3</v>
      </c>
      <c r="P1" s="16">
        <v>40</v>
      </c>
      <c r="Q1" s="16">
        <v>15</v>
      </c>
    </row>
    <row r="2" spans="1:17" ht="14.45" x14ac:dyDescent="0.35">
      <c r="A2" s="103" t="s">
        <v>100</v>
      </c>
      <c r="B2" s="104"/>
      <c r="C2" s="105"/>
      <c r="D2" s="104"/>
      <c r="E2" s="104"/>
      <c r="F2" s="104"/>
      <c r="G2" s="106"/>
      <c r="H2" s="106"/>
      <c r="I2" s="107"/>
      <c r="J2" s="31">
        <v>4</v>
      </c>
      <c r="L2" s="16">
        <v>4</v>
      </c>
      <c r="M2" s="32" t="s">
        <v>103</v>
      </c>
      <c r="N2" s="16" t="s">
        <v>109</v>
      </c>
      <c r="O2" s="16">
        <v>4</v>
      </c>
      <c r="P2" s="16">
        <v>50</v>
      </c>
      <c r="Q2" s="16">
        <v>15</v>
      </c>
    </row>
    <row r="3" spans="1:17" ht="14.45" x14ac:dyDescent="0.35">
      <c r="A3" s="150" t="s">
        <v>416</v>
      </c>
      <c r="B3" s="108"/>
      <c r="C3" s="108"/>
      <c r="D3" s="108"/>
      <c r="E3" s="108"/>
      <c r="F3" s="108"/>
      <c r="G3" s="109"/>
      <c r="H3" s="109"/>
      <c r="I3" s="110"/>
      <c r="J3" s="16">
        <v>5</v>
      </c>
      <c r="L3" s="16">
        <v>5</v>
      </c>
      <c r="M3" s="32" t="s">
        <v>104</v>
      </c>
      <c r="O3" s="16">
        <v>5</v>
      </c>
      <c r="P3" s="16">
        <v>60</v>
      </c>
      <c r="Q3" s="16">
        <v>15</v>
      </c>
    </row>
    <row r="4" spans="1:17" x14ac:dyDescent="0.25">
      <c r="A4" s="17" t="s">
        <v>95</v>
      </c>
      <c r="B4" s="18"/>
      <c r="C4" s="19"/>
      <c r="D4" s="19"/>
      <c r="E4" s="19"/>
      <c r="F4" s="20" t="s">
        <v>96</v>
      </c>
      <c r="G4" s="21"/>
      <c r="H4" s="22"/>
      <c r="I4" s="23"/>
      <c r="J4" s="16">
        <v>6</v>
      </c>
      <c r="L4" s="16">
        <v>6</v>
      </c>
      <c r="O4" s="16">
        <v>6</v>
      </c>
      <c r="P4" s="16">
        <v>80</v>
      </c>
      <c r="Q4" s="16">
        <v>21</v>
      </c>
    </row>
    <row r="5" spans="1:17" x14ac:dyDescent="0.25">
      <c r="A5" s="17" t="s">
        <v>97</v>
      </c>
      <c r="B5" s="24"/>
      <c r="C5" s="22"/>
      <c r="D5" s="22"/>
      <c r="E5" s="23"/>
      <c r="F5" s="25" t="s">
        <v>98</v>
      </c>
      <c r="G5" s="26"/>
      <c r="H5" s="27" t="s">
        <v>99</v>
      </c>
      <c r="I5" s="28"/>
      <c r="L5" s="16">
        <v>7</v>
      </c>
      <c r="O5" s="16">
        <v>7</v>
      </c>
      <c r="P5" s="16">
        <v>100</v>
      </c>
      <c r="Q5" s="16">
        <v>21</v>
      </c>
    </row>
    <row r="6" spans="1:17" x14ac:dyDescent="0.25">
      <c r="A6" s="33" t="s">
        <v>101</v>
      </c>
      <c r="B6" s="29"/>
      <c r="C6" s="29"/>
      <c r="D6" s="29"/>
      <c r="E6" s="29"/>
      <c r="F6" s="29"/>
      <c r="G6" s="29"/>
      <c r="H6" s="29"/>
      <c r="I6" s="30"/>
      <c r="L6" s="16">
        <v>8</v>
      </c>
      <c r="O6" s="16">
        <v>8</v>
      </c>
      <c r="P6" s="16">
        <v>120</v>
      </c>
      <c r="Q6" s="16">
        <v>21</v>
      </c>
    </row>
    <row r="7" spans="1:17" x14ac:dyDescent="0.25">
      <c r="A7" s="75"/>
      <c r="B7" s="35" t="s">
        <v>384</v>
      </c>
      <c r="C7" s="81">
        <v>1.6</v>
      </c>
      <c r="D7" s="118"/>
      <c r="E7" s="37"/>
      <c r="F7" s="37"/>
      <c r="G7" s="37"/>
      <c r="H7" s="37"/>
      <c r="I7" s="38"/>
      <c r="L7" s="16">
        <v>9</v>
      </c>
      <c r="O7" s="16">
        <v>9</v>
      </c>
      <c r="P7" s="16">
        <v>140</v>
      </c>
      <c r="Q7" s="16">
        <v>27</v>
      </c>
    </row>
    <row r="8" spans="1:17" ht="17.25" x14ac:dyDescent="0.25">
      <c r="A8" s="34"/>
      <c r="B8" s="36" t="s">
        <v>385</v>
      </c>
      <c r="C8" s="82" t="s">
        <v>103</v>
      </c>
      <c r="D8" s="118"/>
      <c r="E8" s="37"/>
      <c r="F8" s="37"/>
      <c r="G8" s="37"/>
      <c r="H8" s="37"/>
      <c r="I8" s="38"/>
      <c r="K8" s="16" t="s">
        <v>30</v>
      </c>
      <c r="L8" s="16" t="s">
        <v>31</v>
      </c>
      <c r="M8" s="16" t="s">
        <v>32</v>
      </c>
      <c r="N8" s="16" t="s">
        <v>134</v>
      </c>
      <c r="O8" s="16">
        <v>10</v>
      </c>
      <c r="P8" s="16">
        <v>160</v>
      </c>
      <c r="Q8" s="16">
        <v>27</v>
      </c>
    </row>
    <row r="9" spans="1:17" x14ac:dyDescent="0.25">
      <c r="A9" s="34"/>
      <c r="B9" s="36" t="s">
        <v>386</v>
      </c>
      <c r="C9" s="82" t="s">
        <v>108</v>
      </c>
      <c r="D9" s="37"/>
      <c r="E9" s="37"/>
      <c r="F9" s="37"/>
      <c r="G9" s="37"/>
      <c r="H9" s="37"/>
      <c r="I9" s="38"/>
      <c r="K9" s="16">
        <v>3</v>
      </c>
      <c r="L9" s="16">
        <f>3/8</f>
        <v>0.375</v>
      </c>
      <c r="M9" s="16">
        <f>3.1415*L9^2/4</f>
        <v>0.11044335937500001</v>
      </c>
      <c r="N9" s="16">
        <f t="shared" ref="N9:N14" si="0">-4*L9+3.1415*4*L9+MAX(4*L9,2.5)</f>
        <v>5.71225</v>
      </c>
      <c r="O9" s="16">
        <v>11</v>
      </c>
      <c r="P9" s="16">
        <v>180</v>
      </c>
      <c r="Q9" s="16">
        <v>27</v>
      </c>
    </row>
    <row r="10" spans="1:17" ht="18" x14ac:dyDescent="0.35">
      <c r="A10" s="34"/>
      <c r="B10" s="36" t="s">
        <v>387</v>
      </c>
      <c r="C10" s="82">
        <v>4</v>
      </c>
      <c r="D10" s="39" t="s">
        <v>21</v>
      </c>
      <c r="E10" s="37"/>
      <c r="F10" s="37"/>
      <c r="G10" s="37"/>
      <c r="H10" s="37"/>
      <c r="I10" s="38"/>
      <c r="K10" s="16">
        <v>4</v>
      </c>
      <c r="L10" s="16">
        <f>4/8</f>
        <v>0.5</v>
      </c>
      <c r="M10" s="16">
        <f t="shared" ref="M10:M16" si="1">3.1415*L10^2/4</f>
        <v>0.19634375000000001</v>
      </c>
      <c r="N10" s="16">
        <f t="shared" si="0"/>
        <v>6.7830000000000004</v>
      </c>
      <c r="O10" s="16">
        <v>14</v>
      </c>
      <c r="P10" s="16">
        <v>200</v>
      </c>
      <c r="Q10" s="16">
        <v>27</v>
      </c>
    </row>
    <row r="11" spans="1:17" ht="18" x14ac:dyDescent="0.35">
      <c r="A11" s="34"/>
      <c r="B11" s="36" t="s">
        <v>388</v>
      </c>
      <c r="C11" s="82">
        <v>60</v>
      </c>
      <c r="D11" s="39" t="s">
        <v>21</v>
      </c>
      <c r="E11" s="37"/>
      <c r="F11" s="37"/>
      <c r="G11" s="37"/>
      <c r="H11" s="37"/>
      <c r="I11" s="38"/>
      <c r="K11" s="16">
        <v>5</v>
      </c>
      <c r="L11" s="16">
        <f>5/8</f>
        <v>0.625</v>
      </c>
      <c r="M11" s="16">
        <f t="shared" si="1"/>
        <v>0.30678710937500003</v>
      </c>
      <c r="N11" s="16">
        <f t="shared" si="0"/>
        <v>7.8537500000000007</v>
      </c>
      <c r="O11" s="16">
        <v>3</v>
      </c>
      <c r="P11" s="16">
        <v>240</v>
      </c>
      <c r="Q11" s="16">
        <v>30</v>
      </c>
    </row>
    <row r="12" spans="1:17" x14ac:dyDescent="0.25">
      <c r="A12" s="34"/>
      <c r="B12" s="36" t="s">
        <v>389</v>
      </c>
      <c r="C12" s="82">
        <v>3</v>
      </c>
      <c r="D12" s="39" t="s">
        <v>0</v>
      </c>
      <c r="E12" s="37"/>
      <c r="F12" s="37"/>
      <c r="G12" s="37"/>
      <c r="H12" s="37"/>
      <c r="I12" s="38"/>
      <c r="K12" s="16">
        <v>6</v>
      </c>
      <c r="L12" s="16">
        <f>6/8</f>
        <v>0.75</v>
      </c>
      <c r="M12" s="16">
        <f t="shared" si="1"/>
        <v>0.44177343750000003</v>
      </c>
      <c r="N12" s="16">
        <f t="shared" si="0"/>
        <v>9.4245000000000001</v>
      </c>
      <c r="O12" s="16">
        <v>4</v>
      </c>
      <c r="P12" s="16">
        <v>280</v>
      </c>
      <c r="Q12" s="16">
        <v>30</v>
      </c>
    </row>
    <row r="13" spans="1:17" x14ac:dyDescent="0.25">
      <c r="A13" s="34"/>
      <c r="B13" s="36" t="s">
        <v>390</v>
      </c>
      <c r="C13" s="83">
        <v>40</v>
      </c>
      <c r="D13" s="39" t="s">
        <v>19</v>
      </c>
      <c r="E13" s="37"/>
      <c r="F13" s="37"/>
      <c r="G13" s="37"/>
      <c r="H13" s="37"/>
      <c r="I13" s="38"/>
      <c r="K13" s="16">
        <v>7</v>
      </c>
      <c r="L13" s="16">
        <f>7/8</f>
        <v>0.875</v>
      </c>
      <c r="M13" s="16">
        <f t="shared" si="1"/>
        <v>0.60130273437500004</v>
      </c>
      <c r="N13" s="16">
        <f t="shared" si="0"/>
        <v>10.99525</v>
      </c>
      <c r="O13" s="16">
        <v>5</v>
      </c>
      <c r="P13" s="16">
        <v>320</v>
      </c>
      <c r="Q13" s="16">
        <v>36</v>
      </c>
    </row>
    <row r="14" spans="1:17" x14ac:dyDescent="0.25">
      <c r="A14" s="34"/>
      <c r="B14" s="36" t="s">
        <v>390</v>
      </c>
      <c r="C14" s="121">
        <f>+C13*2</f>
        <v>80</v>
      </c>
      <c r="D14" s="39" t="s">
        <v>18</v>
      </c>
      <c r="E14" s="37"/>
      <c r="F14" s="37"/>
      <c r="G14" s="37"/>
      <c r="H14" s="37"/>
      <c r="I14" s="38"/>
      <c r="K14" s="16">
        <v>8</v>
      </c>
      <c r="L14" s="16">
        <f>8/8</f>
        <v>1</v>
      </c>
      <c r="M14" s="16">
        <f t="shared" si="1"/>
        <v>0.78537500000000005</v>
      </c>
      <c r="N14" s="16">
        <f t="shared" si="0"/>
        <v>12.566000000000001</v>
      </c>
      <c r="P14" s="16">
        <v>360</v>
      </c>
      <c r="Q14" s="16">
        <v>36</v>
      </c>
    </row>
    <row r="15" spans="1:17" x14ac:dyDescent="0.25">
      <c r="A15" s="34"/>
      <c r="B15" s="36" t="s">
        <v>391</v>
      </c>
      <c r="C15" s="122">
        <f>IF(C8="Steel",M23,4)</f>
        <v>6</v>
      </c>
      <c r="D15" s="39" t="s">
        <v>0</v>
      </c>
      <c r="E15" s="37"/>
      <c r="F15" s="37"/>
      <c r="G15" s="37"/>
      <c r="H15" s="37"/>
      <c r="I15" s="38"/>
      <c r="K15" s="16">
        <v>9</v>
      </c>
      <c r="L15" s="16">
        <v>1.1279999999999999</v>
      </c>
      <c r="M15" s="16">
        <f t="shared" si="1"/>
        <v>0.99929858399999982</v>
      </c>
      <c r="N15" s="16">
        <f>-5*L15+3.1415*5*L15+MAX(4*L15,2.5)</f>
        <v>16.590060000000001</v>
      </c>
      <c r="P15" s="16">
        <v>400</v>
      </c>
      <c r="Q15" s="16">
        <v>36</v>
      </c>
    </row>
    <row r="16" spans="1:17" x14ac:dyDescent="0.25">
      <c r="A16" s="34"/>
      <c r="B16" s="36" t="s">
        <v>392</v>
      </c>
      <c r="C16" s="81">
        <v>3</v>
      </c>
      <c r="D16" s="39" t="s">
        <v>0</v>
      </c>
      <c r="E16" s="37"/>
      <c r="F16" s="37"/>
      <c r="G16" s="37"/>
      <c r="H16" s="37"/>
      <c r="I16" s="38"/>
      <c r="K16" s="16">
        <v>10</v>
      </c>
      <c r="L16" s="16">
        <v>1.27</v>
      </c>
      <c r="M16" s="16">
        <f t="shared" si="1"/>
        <v>1.2667313375</v>
      </c>
      <c r="N16" s="16">
        <f t="shared" ref="N16:N18" si="2">-5*L16+3.1415*5*L16+MAX(4*L16,2.5)</f>
        <v>18.678525000000004</v>
      </c>
    </row>
    <row r="17" spans="1:17" ht="18" x14ac:dyDescent="0.35">
      <c r="A17" s="34"/>
      <c r="B17" s="36" t="s">
        <v>111</v>
      </c>
      <c r="C17" s="82">
        <v>20</v>
      </c>
      <c r="D17" s="39" t="s">
        <v>0</v>
      </c>
      <c r="E17" s="37"/>
      <c r="F17" s="37"/>
      <c r="G17" s="37"/>
      <c r="H17" s="37"/>
      <c r="I17" s="38"/>
      <c r="K17" s="16">
        <v>11</v>
      </c>
      <c r="L17" s="16">
        <v>1.41</v>
      </c>
      <c r="M17" s="16">
        <f>3.1415*L17^2/4</f>
        <v>1.5614040375</v>
      </c>
      <c r="N17" s="16">
        <f t="shared" si="2"/>
        <v>20.737575</v>
      </c>
    </row>
    <row r="18" spans="1:17" x14ac:dyDescent="0.25">
      <c r="A18" s="34"/>
      <c r="B18" s="36" t="s">
        <v>393</v>
      </c>
      <c r="C18" s="83">
        <v>6</v>
      </c>
      <c r="D18" s="39" t="s">
        <v>394</v>
      </c>
      <c r="E18" s="37"/>
      <c r="F18" s="37"/>
      <c r="G18" s="37"/>
      <c r="H18" s="37"/>
      <c r="I18" s="38"/>
      <c r="K18" s="16">
        <v>14</v>
      </c>
      <c r="L18" s="16">
        <v>1.6930000000000001</v>
      </c>
      <c r="M18" s="16">
        <f>3.1415*L18^2/4</f>
        <v>2.2510803083750002</v>
      </c>
      <c r="N18" s="16">
        <f t="shared" si="2"/>
        <v>24.899797500000005</v>
      </c>
    </row>
    <row r="19" spans="1:17" x14ac:dyDescent="0.25">
      <c r="A19" s="34"/>
      <c r="B19" s="36" t="s">
        <v>395</v>
      </c>
      <c r="C19" s="121">
        <f>+IF(C13&lt;61,15,IF(C13&lt;121,21,IF(C13&lt;201,27,IF(C13&lt;281,30,36))))</f>
        <v>15</v>
      </c>
      <c r="D19" s="39" t="s">
        <v>0</v>
      </c>
      <c r="E19" s="37"/>
      <c r="F19" s="37"/>
      <c r="G19" s="37"/>
      <c r="H19" s="37"/>
      <c r="I19" s="38"/>
      <c r="L19" s="16" t="s">
        <v>135</v>
      </c>
      <c r="M19" s="16">
        <f>+IF(C24=K9,N9,IF(C24=K10,N10,IF(C24=K11,N11,IF(C24=K12,N12,IF(C24=K13,N13,IF(C24=K14,N14,IF(C24=K15,N15,IF(C24=K16,N16,IF(C24=K17,N17,IF(C24=K18,N18,"NG"))))))))))</f>
        <v>24.899797500000005</v>
      </c>
    </row>
    <row r="20" spans="1:17" ht="18" x14ac:dyDescent="0.35">
      <c r="A20" s="34"/>
      <c r="B20" s="36" t="s">
        <v>396</v>
      </c>
      <c r="C20" s="122">
        <f>17+30/200*C13</f>
        <v>23</v>
      </c>
      <c r="D20" s="39" t="s">
        <v>0</v>
      </c>
      <c r="E20" s="37"/>
      <c r="F20" s="37"/>
      <c r="G20" s="37"/>
      <c r="H20" s="37"/>
      <c r="I20" s="38"/>
      <c r="L20" s="16" t="s">
        <v>136</v>
      </c>
      <c r="M20" s="16">
        <f>+IF(C25=K9,N9,IF(C25=K10,N10,IF(C25=K11,N11,IF(C25=K12,N12,IF(C25=K13,N13,IF(C25=K14,N14,IF(C25=K15,N15,IF(C25=K16,N16,IF(C25=K17,N17,IF(C25=K18,N18,"NG"))))))))))</f>
        <v>24.899797500000005</v>
      </c>
    </row>
    <row r="21" spans="1:17" ht="18" x14ac:dyDescent="0.35">
      <c r="A21" s="34"/>
      <c r="B21" s="36" t="s">
        <v>397</v>
      </c>
      <c r="C21" s="84">
        <v>90</v>
      </c>
      <c r="D21" s="39" t="s">
        <v>0</v>
      </c>
      <c r="E21" s="37"/>
      <c r="F21" s="37"/>
      <c r="G21" s="37"/>
      <c r="H21" s="37"/>
      <c r="I21" s="38"/>
      <c r="J21" s="16" t="s">
        <v>33</v>
      </c>
      <c r="L21" s="16">
        <f>+IF(C24&lt;9,(C24/8),IF(C24=9,1.128,IF(C24=10,1.27,IF(C24=11,1.41,IF(C24=14,1.693,0)))))</f>
        <v>1.6930000000000001</v>
      </c>
      <c r="M21" s="16" t="s">
        <v>20</v>
      </c>
      <c r="N21" s="16" t="s">
        <v>36</v>
      </c>
      <c r="P21" s="16">
        <f>+IF(C25&lt;9,(C25/8),IF(C25=9,1.128,IF(C25=10,1.27,IF(C25=11,1.41,IF(C25=14,1.693,0)))))</f>
        <v>1.6930000000000001</v>
      </c>
      <c r="Q21" s="16" t="s">
        <v>20</v>
      </c>
    </row>
    <row r="22" spans="1:17" ht="17.25" x14ac:dyDescent="0.25">
      <c r="A22" s="34"/>
      <c r="B22" s="36" t="s">
        <v>398</v>
      </c>
      <c r="C22" s="121">
        <f>2*C19/12+2*C18</f>
        <v>14.5</v>
      </c>
      <c r="D22" s="39" t="s">
        <v>394</v>
      </c>
      <c r="E22" s="37"/>
      <c r="F22" s="37"/>
      <c r="G22" s="37"/>
      <c r="H22" s="37"/>
      <c r="I22" s="38"/>
      <c r="J22" s="16" t="s">
        <v>35</v>
      </c>
      <c r="L22" s="16">
        <f>3.1415*L21^2/4</f>
        <v>2.2510803083750002</v>
      </c>
      <c r="M22" s="16" t="s">
        <v>34</v>
      </c>
      <c r="N22" s="16" t="s">
        <v>37</v>
      </c>
      <c r="P22" s="16">
        <f>3.1415*P21^2/4</f>
        <v>2.2510803083750002</v>
      </c>
      <c r="Q22" s="16" t="s">
        <v>34</v>
      </c>
    </row>
    <row r="23" spans="1:17" x14ac:dyDescent="0.25">
      <c r="A23" s="34"/>
      <c r="B23" s="36" t="s">
        <v>399</v>
      </c>
      <c r="C23" s="122">
        <f>2*C19/12+2*C18</f>
        <v>14.5</v>
      </c>
      <c r="D23" s="39" t="s">
        <v>394</v>
      </c>
      <c r="E23" s="37"/>
      <c r="F23" s="37"/>
      <c r="G23" s="37"/>
      <c r="H23" s="37"/>
      <c r="I23" s="38"/>
      <c r="J23" s="16" t="s">
        <v>110</v>
      </c>
      <c r="M23" s="16">
        <v>6</v>
      </c>
    </row>
    <row r="24" spans="1:17" x14ac:dyDescent="0.25">
      <c r="A24" s="34"/>
      <c r="B24" s="36" t="s">
        <v>400</v>
      </c>
      <c r="C24" s="81">
        <v>14</v>
      </c>
      <c r="D24" s="39"/>
      <c r="E24" s="37"/>
      <c r="F24" s="37"/>
      <c r="G24" s="37"/>
      <c r="H24" s="37"/>
      <c r="I24" s="38"/>
    </row>
    <row r="25" spans="1:17" x14ac:dyDescent="0.25">
      <c r="A25" s="34"/>
      <c r="B25" s="36" t="s">
        <v>401</v>
      </c>
      <c r="C25" s="83">
        <v>14</v>
      </c>
      <c r="D25" s="39"/>
      <c r="E25" s="37"/>
      <c r="F25" s="37"/>
      <c r="G25" s="37"/>
      <c r="H25" s="37"/>
      <c r="I25" s="38"/>
      <c r="J25" s="16" t="s">
        <v>112</v>
      </c>
    </row>
    <row r="26" spans="1:17" ht="18" x14ac:dyDescent="0.35">
      <c r="A26" s="34"/>
      <c r="B26" s="36" t="s">
        <v>402</v>
      </c>
      <c r="C26" s="123">
        <f>+C21-C15-C16-P21-0.5*L21</f>
        <v>78.460499999999996</v>
      </c>
      <c r="D26" s="39" t="s">
        <v>0</v>
      </c>
      <c r="E26" s="37"/>
      <c r="F26" s="37"/>
      <c r="G26" s="37"/>
      <c r="H26" s="37"/>
      <c r="I26" s="38"/>
    </row>
    <row r="27" spans="1:17" ht="18" x14ac:dyDescent="0.35">
      <c r="A27" s="34"/>
      <c r="B27" s="36" t="s">
        <v>403</v>
      </c>
      <c r="C27" s="61">
        <f>+C21-C15-C16-P21/2</f>
        <v>80.153499999999994</v>
      </c>
      <c r="D27" s="39" t="s">
        <v>0</v>
      </c>
      <c r="E27" s="37"/>
      <c r="F27" s="37"/>
      <c r="G27" s="37"/>
      <c r="H27" s="37"/>
      <c r="I27" s="38"/>
      <c r="J27" s="16" t="s">
        <v>116</v>
      </c>
      <c r="L27" s="16">
        <f>+(C17*C17*4/3.1415)^0.5</f>
        <v>22.567916137102415</v>
      </c>
    </row>
    <row r="28" spans="1:17" ht="18" x14ac:dyDescent="0.35">
      <c r="A28" s="34"/>
      <c r="B28" s="36" t="s">
        <v>404</v>
      </c>
      <c r="C28" s="45">
        <f>+C21-C15-C16-1</f>
        <v>80</v>
      </c>
      <c r="D28" s="39" t="s">
        <v>0</v>
      </c>
      <c r="E28" s="37"/>
      <c r="F28" s="37"/>
      <c r="G28" s="37"/>
      <c r="H28" s="37"/>
      <c r="I28" s="38"/>
    </row>
    <row r="29" spans="1:17" x14ac:dyDescent="0.25">
      <c r="A29" s="46" t="str">
        <f>+IF(C13&gt;200,"High capacity pile selected - special details required - see CRSI Pile Cap Design Guide", "")</f>
        <v/>
      </c>
      <c r="B29" s="47"/>
      <c r="C29" s="47"/>
      <c r="D29" s="47"/>
      <c r="E29" s="47"/>
      <c r="F29" s="47"/>
      <c r="G29" s="47"/>
      <c r="H29" s="47"/>
      <c r="I29" s="54"/>
      <c r="J29" s="16" t="s">
        <v>115</v>
      </c>
      <c r="M29" s="16">
        <f>+IF(C9="Round",C17,L27)</f>
        <v>20</v>
      </c>
    </row>
    <row r="30" spans="1:17" x14ac:dyDescent="0.25">
      <c r="A30" s="33" t="s">
        <v>113</v>
      </c>
      <c r="B30" s="37"/>
      <c r="C30" s="37"/>
      <c r="D30" s="37"/>
      <c r="E30" s="37"/>
      <c r="F30" s="37"/>
      <c r="G30" s="37"/>
      <c r="H30" s="37"/>
      <c r="I30" s="38"/>
    </row>
    <row r="31" spans="1:17" ht="18.75" x14ac:dyDescent="0.3">
      <c r="A31" s="34" t="s">
        <v>122</v>
      </c>
      <c r="B31" s="37"/>
      <c r="C31" s="37"/>
      <c r="D31" s="37"/>
      <c r="E31" s="49" t="str">
        <f>+IF(C64&gt;C62,"NG; select smaller bar size","OK")</f>
        <v>NG; select smaller bar size</v>
      </c>
      <c r="F31" s="37"/>
      <c r="G31" s="37"/>
      <c r="H31" s="37"/>
      <c r="I31" s="38"/>
      <c r="J31" s="50" t="s">
        <v>84</v>
      </c>
    </row>
    <row r="32" spans="1:17" x14ac:dyDescent="0.25">
      <c r="A32" s="34" t="s">
        <v>123</v>
      </c>
      <c r="B32" s="37"/>
      <c r="C32" s="37"/>
      <c r="D32" s="37"/>
      <c r="E32" s="49" t="str">
        <f>+IF(C82&gt;C80,"NG; select smaller bar size","OK")</f>
        <v>NG; select smaller bar size</v>
      </c>
      <c r="F32" s="37"/>
      <c r="G32" s="37"/>
      <c r="H32" s="37"/>
      <c r="I32" s="38"/>
      <c r="J32" s="16" t="s">
        <v>1</v>
      </c>
      <c r="M32" s="16">
        <f>+C28</f>
        <v>80</v>
      </c>
      <c r="N32" s="16" t="s">
        <v>0</v>
      </c>
      <c r="O32" s="16" t="s">
        <v>52</v>
      </c>
      <c r="P32" s="51"/>
    </row>
    <row r="33" spans="1:25" x14ac:dyDescent="0.25">
      <c r="A33" s="34" t="s">
        <v>124</v>
      </c>
      <c r="B33" s="37"/>
      <c r="C33" s="49" t="str">
        <f>+IF(B95&lt;1,"OK","NG")</f>
        <v>OK</v>
      </c>
      <c r="D33" s="37"/>
      <c r="E33" s="37"/>
      <c r="F33" s="37"/>
      <c r="G33" s="37"/>
      <c r="H33" s="37"/>
      <c r="I33" s="38"/>
      <c r="J33" s="16" t="s">
        <v>53</v>
      </c>
      <c r="M33" s="16">
        <f>+M32/2</f>
        <v>40</v>
      </c>
      <c r="N33" s="16" t="s">
        <v>0</v>
      </c>
      <c r="P33" s="51"/>
    </row>
    <row r="34" spans="1:25" x14ac:dyDescent="0.25">
      <c r="A34" s="34" t="s">
        <v>125</v>
      </c>
      <c r="B34" s="37"/>
      <c r="C34" s="49" t="str">
        <f>+IF(B106&lt;1,"OK","NG")</f>
        <v>OK</v>
      </c>
      <c r="D34" s="37"/>
      <c r="E34" s="37"/>
      <c r="F34" s="37"/>
      <c r="G34" s="36" t="s">
        <v>337</v>
      </c>
      <c r="H34" s="49" t="str">
        <f>+IF(R176&lt;1,"OK","NG")</f>
        <v>OK</v>
      </c>
      <c r="I34" s="38"/>
      <c r="J34" s="16" t="s">
        <v>114</v>
      </c>
      <c r="K34" s="51"/>
      <c r="M34" s="51">
        <f>+M29+M32</f>
        <v>100</v>
      </c>
      <c r="N34" s="16" t="s">
        <v>0</v>
      </c>
      <c r="O34" s="51"/>
      <c r="P34" s="51"/>
    </row>
    <row r="35" spans="1:25" ht="17.25" x14ac:dyDescent="0.25">
      <c r="A35" s="34" t="s">
        <v>126</v>
      </c>
      <c r="B35" s="37"/>
      <c r="C35" s="49" t="str">
        <f>+IF(B117&lt;1,"OK","NG")</f>
        <v>OK</v>
      </c>
      <c r="D35" s="37"/>
      <c r="E35" s="37"/>
      <c r="F35" s="37"/>
      <c r="G35" s="36" t="s">
        <v>338</v>
      </c>
      <c r="H35" s="49" t="str">
        <f>+IF(R188&lt;1,"OK","NG")</f>
        <v>OK</v>
      </c>
      <c r="I35" s="38"/>
      <c r="J35" s="16" t="s">
        <v>85</v>
      </c>
      <c r="K35" s="51"/>
      <c r="L35" s="51"/>
      <c r="M35" s="51">
        <f>+M34*3.1415*M32</f>
        <v>25132.000000000004</v>
      </c>
      <c r="N35" s="16" t="s">
        <v>34</v>
      </c>
    </row>
    <row r="36" spans="1:25" ht="18.75" x14ac:dyDescent="0.35">
      <c r="A36" s="34" t="s">
        <v>127</v>
      </c>
      <c r="B36" s="37"/>
      <c r="C36" s="49" t="str">
        <f>+IF(B131&gt;B129,"Not applicable",IF(B140&lt;1,"OK","NG"))</f>
        <v>Not applicable</v>
      </c>
      <c r="D36" s="37"/>
      <c r="E36" s="37"/>
      <c r="F36" s="37"/>
      <c r="G36" s="36" t="s">
        <v>339</v>
      </c>
      <c r="H36" s="49" t="str">
        <f>+IF(R199&lt;1,"OK","NG")</f>
        <v>OK</v>
      </c>
      <c r="I36" s="38"/>
      <c r="J36" s="16" t="s">
        <v>3</v>
      </c>
      <c r="K36" s="16">
        <f>4*(C10*1000)^0.5</f>
        <v>252.98221281347034</v>
      </c>
      <c r="L36" s="16" t="s">
        <v>5</v>
      </c>
      <c r="U36" s="16" t="s">
        <v>86</v>
      </c>
      <c r="X36" s="16">
        <f>+K39/M35*1000</f>
        <v>1.1868583877128753</v>
      </c>
      <c r="Y36" s="16" t="s">
        <v>5</v>
      </c>
    </row>
    <row r="37" spans="1:25" ht="18.75" x14ac:dyDescent="0.35">
      <c r="A37" s="34" t="s">
        <v>128</v>
      </c>
      <c r="B37" s="37"/>
      <c r="C37" s="49" t="str">
        <f>+IF(B153&lt;1,"OK","NG")</f>
        <v>OK</v>
      </c>
      <c r="D37" s="37"/>
      <c r="E37" s="37"/>
      <c r="F37" s="37"/>
      <c r="G37" s="36" t="s">
        <v>340</v>
      </c>
      <c r="H37" s="49" t="str">
        <f>+IF(R210&lt;1,"OK","NG")</f>
        <v>OK</v>
      </c>
      <c r="I37" s="38"/>
      <c r="J37" s="16" t="s">
        <v>7</v>
      </c>
      <c r="K37" s="16">
        <f>+K36*M35/1000</f>
        <v>6357.9489724281375</v>
      </c>
      <c r="L37" s="16" t="s">
        <v>8</v>
      </c>
      <c r="M37" s="16" t="s">
        <v>87</v>
      </c>
    </row>
    <row r="38" spans="1:25" ht="18" x14ac:dyDescent="0.35">
      <c r="A38" s="52" t="s">
        <v>129</v>
      </c>
      <c r="B38" s="47"/>
      <c r="C38" s="53" t="str">
        <f>+IF(B166&lt;1,"OK","NG")</f>
        <v>OK</v>
      </c>
      <c r="D38" s="47"/>
      <c r="E38" s="47"/>
      <c r="F38" s="47"/>
      <c r="G38" s="47"/>
      <c r="H38" s="47"/>
      <c r="I38" s="54"/>
      <c r="J38" s="16" t="s">
        <v>12</v>
      </c>
      <c r="K38" s="16">
        <f>+K37*0.75</f>
        <v>4768.4617293211031</v>
      </c>
      <c r="L38" s="16" t="s">
        <v>8</v>
      </c>
    </row>
    <row r="39" spans="1:25" ht="18" x14ac:dyDescent="0.35">
      <c r="A39" s="33" t="s">
        <v>106</v>
      </c>
      <c r="B39" s="37"/>
      <c r="C39" s="37"/>
      <c r="D39" s="37"/>
      <c r="E39" s="37"/>
      <c r="F39" s="37"/>
      <c r="G39" s="37"/>
      <c r="H39" s="37"/>
      <c r="I39" s="38"/>
      <c r="J39" s="16" t="s">
        <v>57</v>
      </c>
      <c r="K39" s="16">
        <f>C7*C14-C7*3.1415/4*M34/12*M34/12*C21/12*0.15</f>
        <v>29.828124999999986</v>
      </c>
      <c r="L39" s="16" t="s">
        <v>8</v>
      </c>
      <c r="M39" s="16" t="s">
        <v>344</v>
      </c>
    </row>
    <row r="40" spans="1:25" ht="19.5" x14ac:dyDescent="0.35">
      <c r="A40" s="67" t="s">
        <v>107</v>
      </c>
      <c r="B40" s="37"/>
      <c r="C40" s="37"/>
      <c r="D40" s="37"/>
      <c r="E40" s="37"/>
      <c r="F40" s="37"/>
      <c r="G40" s="37"/>
      <c r="H40" s="37"/>
      <c r="I40" s="38"/>
      <c r="J40" s="16" t="s">
        <v>14</v>
      </c>
      <c r="K40" s="16">
        <f>+K39/K38</f>
        <v>6.2552929420798108E-3</v>
      </c>
    </row>
    <row r="41" spans="1:25" ht="18" x14ac:dyDescent="0.35">
      <c r="A41" s="34"/>
      <c r="B41" s="59" t="s">
        <v>22</v>
      </c>
      <c r="C41" s="60">
        <f>C7*9*C14-C7*C22*C23*C21/12*0.15</f>
        <v>773.55</v>
      </c>
      <c r="D41" s="39" t="s">
        <v>18</v>
      </c>
      <c r="E41" s="37" t="s">
        <v>381</v>
      </c>
      <c r="F41" s="37"/>
      <c r="G41" s="37"/>
      <c r="H41" s="37"/>
      <c r="I41" s="38"/>
    </row>
    <row r="42" spans="1:25" x14ac:dyDescent="0.25">
      <c r="A42" s="34"/>
      <c r="B42" s="59" t="s">
        <v>405</v>
      </c>
      <c r="C42" s="61">
        <f>+(C41/4)^0.5</f>
        <v>13.906383426326199</v>
      </c>
      <c r="D42" s="39" t="s">
        <v>0</v>
      </c>
      <c r="E42" s="37"/>
      <c r="F42" s="37"/>
      <c r="G42" s="37"/>
      <c r="H42" s="37"/>
      <c r="I42" s="38"/>
    </row>
    <row r="43" spans="1:25" x14ac:dyDescent="0.25">
      <c r="A43" s="34"/>
      <c r="B43" s="59" t="s">
        <v>23</v>
      </c>
      <c r="C43" s="41">
        <f>MAX(ROUNDUP(C42,0),10)</f>
        <v>14</v>
      </c>
      <c r="D43" s="39" t="s">
        <v>0</v>
      </c>
      <c r="E43" s="37"/>
      <c r="F43" s="37"/>
      <c r="G43" s="37"/>
      <c r="H43" s="37"/>
      <c r="I43" s="38"/>
    </row>
    <row r="44" spans="1:25" x14ac:dyDescent="0.25">
      <c r="A44" s="52"/>
      <c r="B44" s="47"/>
      <c r="C44" s="47"/>
      <c r="D44" s="47"/>
      <c r="E44" s="47"/>
      <c r="F44" s="47"/>
      <c r="G44" s="47"/>
      <c r="H44" s="47"/>
      <c r="I44" s="48" t="s">
        <v>422</v>
      </c>
    </row>
    <row r="45" spans="1:25" ht="18.75" x14ac:dyDescent="0.3">
      <c r="A45" s="62" t="s">
        <v>24</v>
      </c>
      <c r="B45" s="56"/>
      <c r="C45" s="56"/>
      <c r="D45" s="56"/>
      <c r="E45" s="56"/>
      <c r="F45" s="56"/>
      <c r="G45" s="56"/>
      <c r="H45" s="56"/>
      <c r="I45" s="57"/>
    </row>
    <row r="46" spans="1:25" ht="18" x14ac:dyDescent="0.35">
      <c r="A46" s="34"/>
      <c r="B46" s="36" t="s">
        <v>25</v>
      </c>
      <c r="C46" s="60">
        <f>C7*C14*(3*(C18*12+C12-C43/4))-C7*(C23/2-C43/12/4)*C22*C21/12*0.15*(C23/2-C43/12/4)*12/2</f>
        <v>19873.678124999999</v>
      </c>
      <c r="D46" s="39" t="s">
        <v>26</v>
      </c>
      <c r="E46" s="37" t="s">
        <v>117</v>
      </c>
      <c r="F46" s="37"/>
      <c r="G46" s="37"/>
      <c r="H46" s="37"/>
      <c r="I46" s="38"/>
    </row>
    <row r="47" spans="1:25" ht="18" x14ac:dyDescent="0.35">
      <c r="A47" s="34"/>
      <c r="B47" s="36" t="s">
        <v>25</v>
      </c>
      <c r="C47" s="68">
        <f>+C46/C22</f>
        <v>1370.5984913793102</v>
      </c>
      <c r="D47" s="39" t="s">
        <v>27</v>
      </c>
      <c r="E47" s="37" t="s">
        <v>28</v>
      </c>
      <c r="F47" s="37"/>
      <c r="G47" s="37"/>
      <c r="H47" s="37"/>
      <c r="I47" s="38"/>
    </row>
    <row r="48" spans="1:25" x14ac:dyDescent="0.25">
      <c r="A48" s="34"/>
      <c r="B48" s="36" t="s">
        <v>1</v>
      </c>
      <c r="C48" s="61">
        <f>+C21-C15-C16-P21-0.5*L21</f>
        <v>78.460499999999996</v>
      </c>
      <c r="D48" s="39" t="s">
        <v>0</v>
      </c>
      <c r="E48" s="37"/>
      <c r="F48" s="37"/>
      <c r="G48" s="37"/>
      <c r="H48" s="37"/>
      <c r="I48" s="38"/>
    </row>
    <row r="49" spans="1:9" ht="18" x14ac:dyDescent="0.35">
      <c r="A49" s="34"/>
      <c r="B49" s="36" t="s">
        <v>39</v>
      </c>
      <c r="C49" s="61">
        <f>IF(C10=3,0.51*C48-(0.26*C48^2-0.0189*C47)^0.5,IF(C10=4,0.68*C48-(0.462*C48^2-0.0252*C47)^0.5, IF(C10=5,0.85*C48-(0.723*C48^2-0.0315*C47)^0.5, 1.02*C48-(1.04*C48^2-0.0378*C47)^0.5)))</f>
        <v>0.34789454398176645</v>
      </c>
      <c r="D49" s="39" t="s">
        <v>406</v>
      </c>
      <c r="E49" s="37"/>
      <c r="F49" s="37"/>
      <c r="G49" s="37"/>
      <c r="H49" s="37"/>
      <c r="I49" s="38"/>
    </row>
    <row r="50" spans="1:9" ht="18" x14ac:dyDescent="0.35">
      <c r="A50" s="34"/>
      <c r="B50" s="36" t="s">
        <v>38</v>
      </c>
      <c r="C50" s="61">
        <f>+C49*C22</f>
        <v>5.0444708877356135</v>
      </c>
      <c r="D50" s="39" t="s">
        <v>407</v>
      </c>
      <c r="E50" s="37"/>
      <c r="F50" s="37"/>
      <c r="G50" s="37"/>
      <c r="H50" s="37"/>
      <c r="I50" s="38"/>
    </row>
    <row r="51" spans="1:9" ht="18" x14ac:dyDescent="0.35">
      <c r="A51" s="34"/>
      <c r="B51" s="36" t="s">
        <v>42</v>
      </c>
      <c r="C51" s="61">
        <f>+C50*4/3</f>
        <v>6.7259611836474846</v>
      </c>
      <c r="D51" s="39" t="s">
        <v>407</v>
      </c>
      <c r="E51" s="37"/>
      <c r="F51" s="37"/>
      <c r="G51" s="37"/>
      <c r="H51" s="37"/>
      <c r="I51" s="38"/>
    </row>
    <row r="52" spans="1:9" ht="18.75" x14ac:dyDescent="0.35">
      <c r="A52" s="34"/>
      <c r="B52" s="36" t="s">
        <v>420</v>
      </c>
      <c r="C52" s="61">
        <f>3*(C10*1000)^0.5*C22*12*C48/C11/1000</f>
        <v>43.171816225881543</v>
      </c>
      <c r="D52" s="39" t="s">
        <v>407</v>
      </c>
      <c r="E52" s="37"/>
      <c r="F52" s="37"/>
      <c r="G52" s="37"/>
      <c r="H52" s="37"/>
      <c r="I52" s="38"/>
    </row>
    <row r="53" spans="1:9" ht="18" x14ac:dyDescent="0.35">
      <c r="A53" s="34"/>
      <c r="B53" s="36" t="s">
        <v>421</v>
      </c>
      <c r="C53" s="61">
        <f>200*C22*12*C48/C11/1000</f>
        <v>45.507089999999998</v>
      </c>
      <c r="D53" s="39" t="s">
        <v>407</v>
      </c>
      <c r="E53" s="37"/>
      <c r="F53" s="37"/>
      <c r="G53" s="37"/>
      <c r="H53" s="37"/>
      <c r="I53" s="38"/>
    </row>
    <row r="54" spans="1:9" ht="18" x14ac:dyDescent="0.35">
      <c r="A54" s="34"/>
      <c r="B54" s="36" t="s">
        <v>43</v>
      </c>
      <c r="C54" s="61">
        <f>+MAX(C52:C53)</f>
        <v>45.507089999999998</v>
      </c>
      <c r="D54" s="39" t="s">
        <v>407</v>
      </c>
      <c r="E54" s="37"/>
      <c r="F54" s="37"/>
      <c r="G54" s="37"/>
      <c r="H54" s="37"/>
      <c r="I54" s="38"/>
    </row>
    <row r="55" spans="1:9" ht="18" x14ac:dyDescent="0.35">
      <c r="A55" s="34"/>
      <c r="B55" s="36" t="s">
        <v>408</v>
      </c>
      <c r="C55" s="61">
        <f>+IF(C11=60,0.0018*C22*12*C21,0.002*C22*12*C21)</f>
        <v>28.187999999999999</v>
      </c>
      <c r="D55" s="39" t="s">
        <v>407</v>
      </c>
      <c r="E55" s="37"/>
      <c r="F55" s="37"/>
      <c r="G55" s="37"/>
      <c r="H55" s="37"/>
      <c r="I55" s="38"/>
    </row>
    <row r="56" spans="1:9" ht="18" x14ac:dyDescent="0.35">
      <c r="A56" s="34"/>
      <c r="B56" s="36" t="s">
        <v>40</v>
      </c>
      <c r="C56" s="63">
        <f>+IF(C50&gt;C54,C50,IF(C51&gt;C54,C54,IF(C51&gt;C55,C51,C55)))</f>
        <v>28.187999999999999</v>
      </c>
      <c r="D56" s="39" t="s">
        <v>407</v>
      </c>
      <c r="E56" s="37"/>
      <c r="F56" s="37"/>
      <c r="G56" s="37"/>
      <c r="H56" s="37"/>
      <c r="I56" s="38"/>
    </row>
    <row r="57" spans="1:9" x14ac:dyDescent="0.25">
      <c r="A57" s="64" t="s">
        <v>41</v>
      </c>
      <c r="B57" s="37"/>
      <c r="C57" s="37"/>
      <c r="D57" s="37"/>
      <c r="E57" s="37"/>
      <c r="F57" s="37"/>
      <c r="G57" s="37"/>
      <c r="H57" s="37"/>
      <c r="I57" s="38"/>
    </row>
    <row r="58" spans="1:9" x14ac:dyDescent="0.25">
      <c r="A58" s="124"/>
      <c r="B58" s="65" t="s">
        <v>44</v>
      </c>
      <c r="C58" s="43">
        <f>+C22/C23</f>
        <v>1</v>
      </c>
      <c r="D58" s="39"/>
      <c r="E58" s="37"/>
      <c r="F58" s="37"/>
      <c r="G58" s="37"/>
      <c r="H58" s="37"/>
      <c r="I58" s="38"/>
    </row>
    <row r="59" spans="1:9" ht="18" x14ac:dyDescent="0.35">
      <c r="A59" s="124"/>
      <c r="B59" s="65" t="s">
        <v>46</v>
      </c>
      <c r="C59" s="61">
        <f>2/(C58+1)</f>
        <v>1</v>
      </c>
      <c r="D59" s="39"/>
      <c r="E59" s="37" t="s">
        <v>118</v>
      </c>
      <c r="F59" s="37"/>
      <c r="G59" s="37"/>
      <c r="H59" s="37"/>
      <c r="I59" s="38"/>
    </row>
    <row r="60" spans="1:9" ht="18.75" x14ac:dyDescent="0.35">
      <c r="A60" s="34"/>
      <c r="B60" s="36" t="s">
        <v>45</v>
      </c>
      <c r="C60" s="61">
        <f>+C50*C58*C59</f>
        <v>5.0444708877356135</v>
      </c>
      <c r="D60" s="39" t="s">
        <v>34</v>
      </c>
      <c r="E60" s="37"/>
      <c r="F60" s="37"/>
      <c r="G60" s="37"/>
      <c r="H60" s="37"/>
      <c r="I60" s="38"/>
    </row>
    <row r="61" spans="1:9" ht="18.75" x14ac:dyDescent="0.35">
      <c r="A61" s="34"/>
      <c r="B61" s="36" t="s">
        <v>40</v>
      </c>
      <c r="C61" s="61">
        <f>+MAX(C60,C56)</f>
        <v>28.187999999999999</v>
      </c>
      <c r="D61" s="39" t="s">
        <v>34</v>
      </c>
      <c r="E61" s="37"/>
      <c r="F61" s="37"/>
      <c r="G61" s="37"/>
      <c r="H61" s="37"/>
      <c r="I61" s="38"/>
    </row>
    <row r="62" spans="1:9" x14ac:dyDescent="0.25">
      <c r="A62" s="34"/>
      <c r="B62" s="36" t="s">
        <v>409</v>
      </c>
      <c r="C62" s="44">
        <f>+C19-C12</f>
        <v>12</v>
      </c>
      <c r="D62" s="39" t="s">
        <v>0</v>
      </c>
      <c r="E62" s="37" t="s">
        <v>51</v>
      </c>
      <c r="F62" s="37"/>
      <c r="G62" s="37"/>
      <c r="H62" s="37"/>
      <c r="I62" s="38"/>
    </row>
    <row r="63" spans="1:9" ht="18" x14ac:dyDescent="0.35">
      <c r="A63" s="34"/>
      <c r="B63" s="36" t="s">
        <v>50</v>
      </c>
      <c r="C63" s="44">
        <v>1</v>
      </c>
      <c r="D63" s="39"/>
      <c r="E63" s="37" t="s">
        <v>49</v>
      </c>
      <c r="F63" s="37"/>
      <c r="G63" s="37"/>
      <c r="H63" s="37"/>
      <c r="I63" s="38"/>
    </row>
    <row r="64" spans="1:9" ht="18" x14ac:dyDescent="0.35">
      <c r="A64" s="34"/>
      <c r="B64" s="36" t="s">
        <v>47</v>
      </c>
      <c r="C64" s="61">
        <f>0.02*C63*C11*1000/(C10*1000)^0.5*L21*0.7</f>
        <v>22.485691530393279</v>
      </c>
      <c r="D64" s="39" t="s">
        <v>0</v>
      </c>
      <c r="E64" s="37" t="str">
        <f>+IF(C64&gt;C62,"NG; insufficient length available to develop hook","OK; sufficient length available to develop hook")</f>
        <v>NG; insufficient length available to develop hook</v>
      </c>
      <c r="F64" s="37"/>
      <c r="G64" s="37"/>
      <c r="H64" s="37"/>
      <c r="I64" s="38"/>
    </row>
    <row r="65" spans="1:9" x14ac:dyDescent="0.25">
      <c r="A65" s="34"/>
      <c r="B65" s="36" t="s">
        <v>410</v>
      </c>
      <c r="C65" s="66">
        <f>+C61/L22</f>
        <v>12.521987729681767</v>
      </c>
      <c r="D65" s="39"/>
      <c r="E65" s="37"/>
      <c r="F65" s="37"/>
      <c r="G65" s="37"/>
      <c r="H65" s="37"/>
      <c r="I65" s="38"/>
    </row>
    <row r="66" spans="1:9" x14ac:dyDescent="0.25">
      <c r="A66" s="34"/>
      <c r="B66" s="36" t="s">
        <v>411</v>
      </c>
      <c r="C66" s="84">
        <v>18</v>
      </c>
      <c r="D66" s="39"/>
      <c r="E66" s="37"/>
      <c r="F66" s="37"/>
      <c r="G66" s="37"/>
      <c r="H66" s="37"/>
      <c r="I66" s="38"/>
    </row>
    <row r="67" spans="1:9" x14ac:dyDescent="0.25">
      <c r="A67" s="34"/>
      <c r="B67" s="37"/>
      <c r="C67" s="37"/>
      <c r="D67" s="37"/>
      <c r="E67" s="37"/>
      <c r="F67" s="37"/>
      <c r="G67" s="37"/>
      <c r="H67" s="37"/>
      <c r="I67" s="38"/>
    </row>
    <row r="68" spans="1:9" ht="18.75" x14ac:dyDescent="0.3">
      <c r="A68" s="67" t="s">
        <v>48</v>
      </c>
      <c r="B68" s="37"/>
      <c r="C68" s="37"/>
      <c r="D68" s="37"/>
      <c r="E68" s="37"/>
      <c r="F68" s="37"/>
      <c r="G68" s="37"/>
      <c r="H68" s="37"/>
      <c r="I68" s="38"/>
    </row>
    <row r="69" spans="1:9" ht="18" x14ac:dyDescent="0.35">
      <c r="A69" s="34"/>
      <c r="B69" s="36" t="s">
        <v>25</v>
      </c>
      <c r="C69" s="60">
        <f>C7*C14*(3*(C18*12+C12-C43/4))-C7*(C22/2-C43/12/4)*C23*C21/12*0.15*(C22/2-C43/12/4)*12/2</f>
        <v>19873.678124999999</v>
      </c>
      <c r="D69" s="39" t="s">
        <v>26</v>
      </c>
      <c r="E69" s="37" t="s">
        <v>117</v>
      </c>
      <c r="F69" s="37"/>
      <c r="G69" s="37"/>
      <c r="H69" s="37"/>
      <c r="I69" s="38"/>
    </row>
    <row r="70" spans="1:9" ht="18" x14ac:dyDescent="0.35">
      <c r="A70" s="34"/>
      <c r="B70" s="36" t="s">
        <v>25</v>
      </c>
      <c r="C70" s="68">
        <f>+C69/C23</f>
        <v>1370.5984913793102</v>
      </c>
      <c r="D70" s="39" t="s">
        <v>27</v>
      </c>
      <c r="E70" s="37" t="s">
        <v>28</v>
      </c>
      <c r="F70" s="37"/>
      <c r="G70" s="37"/>
      <c r="H70" s="37"/>
      <c r="I70" s="38"/>
    </row>
    <row r="71" spans="1:9" x14ac:dyDescent="0.25">
      <c r="A71" s="34"/>
      <c r="B71" s="36" t="s">
        <v>1</v>
      </c>
      <c r="C71" s="44">
        <f>+C21-C15-C16-P21/2</f>
        <v>80.153499999999994</v>
      </c>
      <c r="D71" s="39" t="s">
        <v>0</v>
      </c>
      <c r="E71" s="37"/>
      <c r="F71" s="37"/>
      <c r="G71" s="37"/>
      <c r="H71" s="37"/>
      <c r="I71" s="38"/>
    </row>
    <row r="72" spans="1:9" ht="18.75" x14ac:dyDescent="0.35">
      <c r="A72" s="34"/>
      <c r="B72" s="36" t="s">
        <v>39</v>
      </c>
      <c r="C72" s="61">
        <f>IF(C10=3,0.51*C71-(0.26*C71^2-0.0189*C70)^0.5,IF(C10=4,0.68*C71-(0.462*C71^2-0.0252*C70)^0.5, IF(C10=5,0.85*C71-(0.723*C71^2-0.0315*C70)^0.5, 1.02*C71-(1.04*C71^2-0.0378*C70)^0.5)))</f>
        <v>0.34149119431736352</v>
      </c>
      <c r="D72" s="39" t="s">
        <v>29</v>
      </c>
      <c r="E72" s="37"/>
      <c r="F72" s="37"/>
      <c r="G72" s="37"/>
      <c r="H72" s="37"/>
      <c r="I72" s="38"/>
    </row>
    <row r="73" spans="1:9" ht="18.75" x14ac:dyDescent="0.35">
      <c r="A73" s="34"/>
      <c r="B73" s="36" t="s">
        <v>38</v>
      </c>
      <c r="C73" s="61">
        <f>+C72*C23</f>
        <v>4.9516223176017711</v>
      </c>
      <c r="D73" s="39" t="s">
        <v>34</v>
      </c>
      <c r="E73" s="37"/>
      <c r="F73" s="37"/>
      <c r="G73" s="37"/>
      <c r="H73" s="37"/>
      <c r="I73" s="38"/>
    </row>
    <row r="74" spans="1:9" ht="18.75" x14ac:dyDescent="0.35">
      <c r="A74" s="34"/>
      <c r="B74" s="36" t="s">
        <v>42</v>
      </c>
      <c r="C74" s="61">
        <f>+C73*4/3</f>
        <v>6.6021630901356945</v>
      </c>
      <c r="D74" s="39" t="s">
        <v>34</v>
      </c>
      <c r="E74" s="37"/>
      <c r="F74" s="37"/>
      <c r="G74" s="37"/>
      <c r="H74" s="37"/>
      <c r="I74" s="38"/>
    </row>
    <row r="75" spans="1:9" ht="18.75" x14ac:dyDescent="0.35">
      <c r="A75" s="34"/>
      <c r="B75" s="36" t="s">
        <v>420</v>
      </c>
      <c r="C75" s="61">
        <f>3*(C10*1000)^0.5*C23*12*C71/C11/1000</f>
        <v>44.103366303569267</v>
      </c>
      <c r="D75" s="39" t="s">
        <v>34</v>
      </c>
      <c r="E75" s="37"/>
      <c r="F75" s="37"/>
      <c r="G75" s="37"/>
      <c r="H75" s="37"/>
      <c r="I75" s="38"/>
    </row>
    <row r="76" spans="1:9" ht="18.75" x14ac:dyDescent="0.35">
      <c r="A76" s="34"/>
      <c r="B76" s="36" t="s">
        <v>421</v>
      </c>
      <c r="C76" s="61">
        <f>200*C23*12*C71/C11/1000</f>
        <v>46.48903</v>
      </c>
      <c r="D76" s="39" t="s">
        <v>34</v>
      </c>
      <c r="E76" s="37"/>
      <c r="F76" s="37"/>
      <c r="G76" s="37"/>
      <c r="H76" s="37"/>
      <c r="I76" s="38"/>
    </row>
    <row r="77" spans="1:9" ht="18.75" x14ac:dyDescent="0.35">
      <c r="A77" s="34"/>
      <c r="B77" s="36" t="s">
        <v>43</v>
      </c>
      <c r="C77" s="61">
        <f>+MAX(C75:C76)</f>
        <v>46.48903</v>
      </c>
      <c r="D77" s="39" t="s">
        <v>34</v>
      </c>
      <c r="E77" s="37"/>
      <c r="F77" s="37"/>
      <c r="G77" s="37"/>
      <c r="H77" s="37"/>
      <c r="I77" s="38"/>
    </row>
    <row r="78" spans="1:9" ht="18.75" x14ac:dyDescent="0.35">
      <c r="A78" s="34"/>
      <c r="B78" s="36" t="s">
        <v>408</v>
      </c>
      <c r="C78" s="61">
        <f>+IF(C11=60,0.0018*C23*12*C21,0.002*C23*12*C21)</f>
        <v>28.187999999999999</v>
      </c>
      <c r="D78" s="39" t="s">
        <v>34</v>
      </c>
      <c r="E78" s="37"/>
      <c r="F78" s="37"/>
      <c r="G78" s="37"/>
      <c r="H78" s="37"/>
      <c r="I78" s="38"/>
    </row>
    <row r="79" spans="1:9" ht="18.75" x14ac:dyDescent="0.35">
      <c r="A79" s="34"/>
      <c r="B79" s="36" t="s">
        <v>40</v>
      </c>
      <c r="C79" s="61">
        <f>+IF(C73&gt;C77,C73,IF(C74&gt;C77,C77,IF(C74&gt;C78,C74,C78)))</f>
        <v>28.187999999999999</v>
      </c>
      <c r="D79" s="39" t="s">
        <v>34</v>
      </c>
      <c r="E79" s="37"/>
      <c r="F79" s="37"/>
      <c r="G79" s="37"/>
      <c r="H79" s="37"/>
      <c r="I79" s="38"/>
    </row>
    <row r="80" spans="1:9" x14ac:dyDescent="0.25">
      <c r="A80" s="34"/>
      <c r="B80" s="36" t="s">
        <v>409</v>
      </c>
      <c r="C80" s="68">
        <f>+C19-C12</f>
        <v>12</v>
      </c>
      <c r="D80" s="39" t="s">
        <v>0</v>
      </c>
      <c r="E80" s="37" t="s">
        <v>51</v>
      </c>
      <c r="F80" s="37"/>
      <c r="G80" s="37"/>
      <c r="H80" s="37"/>
      <c r="I80" s="38"/>
    </row>
    <row r="81" spans="1:17" ht="18" x14ac:dyDescent="0.35">
      <c r="A81" s="34"/>
      <c r="B81" s="36" t="s">
        <v>50</v>
      </c>
      <c r="C81" s="44">
        <v>1</v>
      </c>
      <c r="D81" s="39"/>
      <c r="E81" s="37" t="s">
        <v>49</v>
      </c>
      <c r="F81" s="37"/>
      <c r="G81" s="37"/>
      <c r="H81" s="37"/>
      <c r="I81" s="38"/>
    </row>
    <row r="82" spans="1:17" ht="18" x14ac:dyDescent="0.35">
      <c r="A82" s="34"/>
      <c r="B82" s="36" t="s">
        <v>47</v>
      </c>
      <c r="C82" s="61">
        <f>0.02*C63*C11*1000/(C10*1000)^0.5*P21*0.7</f>
        <v>22.485691530393279</v>
      </c>
      <c r="D82" s="39" t="s">
        <v>0</v>
      </c>
      <c r="E82" s="37" t="str">
        <f>+IF(C82&gt;C80,"NG; insufficient length available to develop hook","OK; sufficient length available to develop hook")</f>
        <v>NG; insufficient length available to develop hook</v>
      </c>
      <c r="F82" s="37"/>
      <c r="G82" s="37"/>
      <c r="H82" s="37"/>
      <c r="I82" s="38"/>
    </row>
    <row r="83" spans="1:17" x14ac:dyDescent="0.25">
      <c r="A83" s="34"/>
      <c r="B83" s="36" t="s">
        <v>451</v>
      </c>
      <c r="C83" s="69">
        <f>+C79/P22</f>
        <v>12.521987729681767</v>
      </c>
      <c r="D83" s="39"/>
      <c r="E83" s="37"/>
      <c r="F83" s="37"/>
      <c r="G83" s="37"/>
      <c r="H83" s="37"/>
      <c r="I83" s="38"/>
    </row>
    <row r="84" spans="1:17" x14ac:dyDescent="0.25">
      <c r="A84" s="34"/>
      <c r="B84" s="36" t="s">
        <v>412</v>
      </c>
      <c r="C84" s="84">
        <v>18</v>
      </c>
      <c r="D84" s="39"/>
      <c r="E84" s="37"/>
      <c r="F84" s="37"/>
      <c r="G84" s="37"/>
      <c r="H84" s="37"/>
      <c r="I84" s="38"/>
    </row>
    <row r="85" spans="1:17" x14ac:dyDescent="0.25">
      <c r="A85" s="52"/>
      <c r="B85" s="47"/>
      <c r="C85" s="47"/>
      <c r="D85" s="47"/>
      <c r="E85" s="47"/>
      <c r="F85" s="47"/>
      <c r="G85" s="47"/>
      <c r="H85" s="47"/>
      <c r="I85" s="48" t="s">
        <v>422</v>
      </c>
    </row>
    <row r="86" spans="1:17" ht="18.75" x14ac:dyDescent="0.3">
      <c r="A86" s="62" t="s">
        <v>80</v>
      </c>
      <c r="B86" s="56"/>
      <c r="C86" s="56"/>
      <c r="D86" s="56"/>
      <c r="E86" s="56"/>
      <c r="F86" s="56"/>
      <c r="G86" s="56"/>
      <c r="H86" s="56"/>
      <c r="I86" s="57"/>
      <c r="J86" s="16" t="s">
        <v>54</v>
      </c>
      <c r="K86" s="51"/>
      <c r="M86" s="51">
        <f>+B87/2+C43/2</f>
        <v>47</v>
      </c>
      <c r="N86" s="16" t="s">
        <v>0</v>
      </c>
      <c r="O86" s="51"/>
      <c r="P86" s="51"/>
    </row>
    <row r="87" spans="1:17" x14ac:dyDescent="0.25">
      <c r="A87" s="59" t="s">
        <v>1</v>
      </c>
      <c r="B87" s="43">
        <f>+C21-C15-C16-1</f>
        <v>80</v>
      </c>
      <c r="C87" s="39" t="s">
        <v>0</v>
      </c>
      <c r="D87" s="37"/>
      <c r="E87" s="37"/>
      <c r="F87" s="37"/>
      <c r="G87" s="70"/>
      <c r="H87" s="37"/>
      <c r="I87" s="38"/>
      <c r="J87" s="16" t="s">
        <v>55</v>
      </c>
      <c r="K87" s="51"/>
      <c r="L87" s="51"/>
      <c r="M87" s="51"/>
      <c r="N87" s="51"/>
      <c r="O87" s="51">
        <f>+C18*12+C12</f>
        <v>75</v>
      </c>
      <c r="P87" s="16" t="s">
        <v>0</v>
      </c>
      <c r="Q87" s="16" t="s">
        <v>119</v>
      </c>
    </row>
    <row r="88" spans="1:17" x14ac:dyDescent="0.25">
      <c r="A88" s="59" t="s">
        <v>53</v>
      </c>
      <c r="B88" s="63">
        <f>+B87/2</f>
        <v>40</v>
      </c>
      <c r="C88" s="39" t="s">
        <v>0</v>
      </c>
      <c r="D88" s="37"/>
      <c r="E88" s="37"/>
      <c r="F88" s="37"/>
      <c r="G88" s="70"/>
      <c r="H88" s="37"/>
      <c r="I88" s="38"/>
      <c r="J88" s="16" t="s">
        <v>56</v>
      </c>
      <c r="K88" s="51"/>
      <c r="L88" s="51"/>
      <c r="M88" s="51"/>
      <c r="N88" s="51"/>
      <c r="O88" s="51">
        <f>+C18*12+C12</f>
        <v>75</v>
      </c>
      <c r="P88" s="16" t="s">
        <v>0</v>
      </c>
      <c r="Q88" s="16" t="s">
        <v>119</v>
      </c>
    </row>
    <row r="89" spans="1:17" x14ac:dyDescent="0.25">
      <c r="A89" s="71"/>
      <c r="B89" s="70"/>
      <c r="C89" s="70"/>
      <c r="D89" s="71" t="s">
        <v>413</v>
      </c>
      <c r="E89" s="72">
        <f>+IF(M86&gt;O88,0,8)</f>
        <v>8</v>
      </c>
      <c r="F89" s="37"/>
      <c r="G89" s="37"/>
      <c r="H89" s="37"/>
      <c r="I89" s="38"/>
    </row>
    <row r="90" spans="1:17" ht="18.75" x14ac:dyDescent="0.35">
      <c r="A90" s="59" t="s">
        <v>3</v>
      </c>
      <c r="B90" s="60">
        <f>4*(C10*1000)^0.5</f>
        <v>252.98221281347034</v>
      </c>
      <c r="C90" s="39" t="s">
        <v>5</v>
      </c>
      <c r="D90" s="37"/>
      <c r="E90" s="37"/>
      <c r="F90" s="37"/>
      <c r="G90" s="37"/>
      <c r="H90" s="37"/>
      <c r="I90" s="38"/>
    </row>
    <row r="91" spans="1:17" ht="18" x14ac:dyDescent="0.35">
      <c r="A91" s="59" t="s">
        <v>11</v>
      </c>
      <c r="B91" s="68">
        <f>4*(B87+C43)</f>
        <v>376</v>
      </c>
      <c r="C91" s="39" t="s">
        <v>0</v>
      </c>
      <c r="D91" s="37"/>
      <c r="E91" s="37"/>
      <c r="F91" s="37"/>
      <c r="G91" s="37"/>
      <c r="H91" s="37"/>
      <c r="I91" s="38"/>
      <c r="L91" s="16" t="s">
        <v>83</v>
      </c>
      <c r="O91" s="16">
        <f>+B90</f>
        <v>252.98221281347034</v>
      </c>
      <c r="P91" s="16" t="s">
        <v>5</v>
      </c>
    </row>
    <row r="92" spans="1:17" ht="18.75" x14ac:dyDescent="0.35">
      <c r="A92" s="59" t="s">
        <v>7</v>
      </c>
      <c r="B92" s="68">
        <f>+B90*B91*B87/1000</f>
        <v>7609.7049614291882</v>
      </c>
      <c r="C92" s="39" t="s">
        <v>18</v>
      </c>
      <c r="D92" s="37" t="s">
        <v>15</v>
      </c>
      <c r="E92" s="37"/>
      <c r="F92" s="37"/>
      <c r="G92" s="37"/>
      <c r="H92" s="37"/>
      <c r="I92" s="38"/>
    </row>
    <row r="93" spans="1:17" ht="18" x14ac:dyDescent="0.35">
      <c r="A93" s="59" t="s">
        <v>12</v>
      </c>
      <c r="B93" s="68">
        <f>+B92*0.75</f>
        <v>5707.2787210718907</v>
      </c>
      <c r="C93" s="39" t="s">
        <v>18</v>
      </c>
      <c r="D93" s="37"/>
      <c r="E93" s="37"/>
      <c r="F93" s="37"/>
      <c r="G93" s="37"/>
      <c r="H93" s="37"/>
      <c r="I93" s="38"/>
    </row>
    <row r="94" spans="1:17" ht="18" x14ac:dyDescent="0.35">
      <c r="A94" s="59" t="s">
        <v>57</v>
      </c>
      <c r="B94" s="68">
        <f>+E89*C7*C14-C7*0.15*C22*C23*C21/12+C7*0.15*(2*M86)/12*(2*M86)/12*C21/12</f>
        <v>756</v>
      </c>
      <c r="C94" s="39" t="s">
        <v>18</v>
      </c>
      <c r="D94" s="37" t="s">
        <v>131</v>
      </c>
      <c r="E94" s="37"/>
      <c r="F94" s="37"/>
      <c r="G94" s="37"/>
      <c r="H94" s="37"/>
      <c r="I94" s="38"/>
    </row>
    <row r="95" spans="1:17" ht="18" x14ac:dyDescent="0.35">
      <c r="A95" s="59" t="s">
        <v>14</v>
      </c>
      <c r="B95" s="63">
        <f>+B94/B93</f>
        <v>0.13246242858418078</v>
      </c>
      <c r="C95" s="39"/>
      <c r="D95" s="37"/>
      <c r="E95" s="37"/>
      <c r="F95" s="37"/>
      <c r="G95" s="37"/>
      <c r="H95" s="37"/>
      <c r="I95" s="38"/>
    </row>
    <row r="96" spans="1:17" x14ac:dyDescent="0.25">
      <c r="A96" s="34"/>
      <c r="B96" s="37"/>
      <c r="C96" s="37"/>
      <c r="D96" s="37"/>
      <c r="E96" s="37"/>
      <c r="F96" s="37"/>
      <c r="G96" s="37"/>
      <c r="H96" s="37"/>
      <c r="I96" s="38"/>
    </row>
    <row r="97" spans="1:17" ht="18.75" x14ac:dyDescent="0.3">
      <c r="A97" s="67" t="s">
        <v>120</v>
      </c>
      <c r="B97" s="37"/>
      <c r="C97" s="37"/>
      <c r="D97" s="37"/>
      <c r="E97" s="37"/>
      <c r="F97" s="37"/>
      <c r="G97" s="37"/>
      <c r="H97" s="37"/>
      <c r="I97" s="38"/>
    </row>
    <row r="98" spans="1:17" ht="18.75" x14ac:dyDescent="0.3">
      <c r="A98" s="67" t="s">
        <v>121</v>
      </c>
      <c r="B98" s="37"/>
      <c r="C98" s="37"/>
      <c r="D98" s="37"/>
      <c r="E98" s="37"/>
      <c r="F98" s="37"/>
      <c r="G98" s="37"/>
      <c r="H98" s="37"/>
      <c r="I98" s="38"/>
      <c r="J98" s="16" t="s">
        <v>58</v>
      </c>
      <c r="K98" s="51"/>
      <c r="M98" s="51">
        <f>+C43/2+B99</f>
        <v>87</v>
      </c>
      <c r="N98" s="16" t="s">
        <v>0</v>
      </c>
      <c r="O98" s="51"/>
    </row>
    <row r="99" spans="1:17" x14ac:dyDescent="0.25">
      <c r="A99" s="59" t="s">
        <v>1</v>
      </c>
      <c r="B99" s="80">
        <f>+B87</f>
        <v>80</v>
      </c>
      <c r="C99" s="39" t="s">
        <v>0</v>
      </c>
      <c r="D99" s="37"/>
      <c r="E99" s="37"/>
      <c r="F99" s="37"/>
      <c r="G99" s="37"/>
      <c r="H99" s="37"/>
      <c r="I99" s="38"/>
      <c r="J99" s="16" t="s">
        <v>59</v>
      </c>
      <c r="K99" s="51"/>
      <c r="L99" s="51"/>
      <c r="M99" s="51"/>
      <c r="N99" s="51"/>
      <c r="O99" s="51">
        <f>C18*12+C12</f>
        <v>75</v>
      </c>
      <c r="P99" s="16" t="s">
        <v>0</v>
      </c>
      <c r="Q99" s="16" t="s">
        <v>119</v>
      </c>
    </row>
    <row r="100" spans="1:17" x14ac:dyDescent="0.25">
      <c r="A100" s="59"/>
      <c r="B100" s="70"/>
      <c r="C100" s="70"/>
      <c r="D100" s="59" t="s">
        <v>414</v>
      </c>
      <c r="E100" s="72">
        <f>+IF(M98&gt;O99,0,3)</f>
        <v>0</v>
      </c>
      <c r="F100" s="37"/>
      <c r="G100" s="37"/>
      <c r="H100" s="37"/>
      <c r="I100" s="38"/>
    </row>
    <row r="101" spans="1:17" ht="18.75" x14ac:dyDescent="0.35">
      <c r="A101" s="59" t="s">
        <v>60</v>
      </c>
      <c r="B101" s="60">
        <f>2*(C10*1000)^0.5</f>
        <v>126.49110640673517</v>
      </c>
      <c r="C101" s="39" t="s">
        <v>5</v>
      </c>
      <c r="D101" s="37"/>
      <c r="E101" s="37"/>
      <c r="F101" s="37"/>
      <c r="G101" s="37"/>
      <c r="H101" s="37"/>
      <c r="I101" s="38"/>
      <c r="L101" s="16" t="s">
        <v>83</v>
      </c>
      <c r="O101" s="16">
        <f>+B101</f>
        <v>126.49110640673517</v>
      </c>
      <c r="P101" s="16" t="s">
        <v>5</v>
      </c>
    </row>
    <row r="102" spans="1:17" x14ac:dyDescent="0.25">
      <c r="A102" s="59" t="s">
        <v>61</v>
      </c>
      <c r="B102" s="68">
        <f>+C23*12*B99</f>
        <v>13920</v>
      </c>
      <c r="C102" s="39" t="s">
        <v>407</v>
      </c>
      <c r="D102" s="37"/>
      <c r="E102" s="37"/>
      <c r="F102" s="37"/>
      <c r="G102" s="37"/>
      <c r="H102" s="37"/>
      <c r="I102" s="38"/>
    </row>
    <row r="103" spans="1:17" ht="18.75" x14ac:dyDescent="0.35">
      <c r="A103" s="59" t="s">
        <v>7</v>
      </c>
      <c r="B103" s="68">
        <f>+B101*B102/1000</f>
        <v>1760.7562011817536</v>
      </c>
      <c r="C103" s="39" t="s">
        <v>18</v>
      </c>
      <c r="D103" s="37" t="s">
        <v>62</v>
      </c>
      <c r="E103" s="37"/>
      <c r="F103" s="37"/>
      <c r="G103" s="37"/>
      <c r="H103" s="37"/>
      <c r="I103" s="38"/>
    </row>
    <row r="104" spans="1:17" ht="18" x14ac:dyDescent="0.35">
      <c r="A104" s="59" t="s">
        <v>12</v>
      </c>
      <c r="B104" s="68">
        <f>+B103*0.75</f>
        <v>1320.5671508863152</v>
      </c>
      <c r="C104" s="39" t="s">
        <v>18</v>
      </c>
      <c r="D104" s="37"/>
      <c r="E104" s="37"/>
      <c r="F104" s="37"/>
      <c r="G104" s="37"/>
      <c r="H104" s="37"/>
      <c r="I104" s="38"/>
    </row>
    <row r="105" spans="1:17" ht="18" x14ac:dyDescent="0.35">
      <c r="A105" s="59" t="s">
        <v>57</v>
      </c>
      <c r="B105" s="68">
        <f>+E100*C14*C7-C7*0.15*C22*C23*C21/12*((C22/2-M98/12)/C22)</f>
        <v>0</v>
      </c>
      <c r="C105" s="39" t="s">
        <v>18</v>
      </c>
      <c r="D105" s="37" t="s">
        <v>131</v>
      </c>
      <c r="E105" s="37"/>
      <c r="F105" s="37"/>
      <c r="G105" s="37"/>
      <c r="H105" s="37"/>
      <c r="I105" s="38"/>
    </row>
    <row r="106" spans="1:17" ht="18" x14ac:dyDescent="0.35">
      <c r="A106" s="59" t="s">
        <v>14</v>
      </c>
      <c r="B106" s="63">
        <f>+B105/B104</f>
        <v>0</v>
      </c>
      <c r="C106" s="39"/>
      <c r="D106" s="37"/>
      <c r="E106" s="37"/>
      <c r="F106" s="37"/>
      <c r="G106" s="37"/>
      <c r="H106" s="37"/>
      <c r="I106" s="38"/>
    </row>
    <row r="107" spans="1:17" x14ac:dyDescent="0.25">
      <c r="A107" s="34"/>
      <c r="B107" s="37"/>
      <c r="C107" s="37"/>
      <c r="D107" s="37"/>
      <c r="E107" s="37"/>
      <c r="F107" s="37"/>
      <c r="G107" s="37"/>
      <c r="H107" s="37"/>
      <c r="I107" s="38"/>
    </row>
    <row r="108" spans="1:17" ht="18.75" x14ac:dyDescent="0.3">
      <c r="A108" s="67" t="s">
        <v>138</v>
      </c>
      <c r="B108" s="37"/>
      <c r="C108" s="37"/>
      <c r="D108" s="37"/>
      <c r="E108" s="37"/>
      <c r="F108" s="37"/>
      <c r="G108" s="37"/>
      <c r="H108" s="37"/>
      <c r="I108" s="38"/>
    </row>
    <row r="109" spans="1:17" ht="18.75" x14ac:dyDescent="0.3">
      <c r="A109" s="67" t="s">
        <v>139</v>
      </c>
      <c r="B109" s="37"/>
      <c r="C109" s="37"/>
      <c r="D109" s="37"/>
      <c r="E109" s="37"/>
      <c r="F109" s="37"/>
      <c r="G109" s="37"/>
      <c r="H109" s="37"/>
      <c r="I109" s="38"/>
      <c r="J109" s="16" t="s">
        <v>58</v>
      </c>
      <c r="K109" s="51"/>
      <c r="M109" s="51">
        <f>+C43/2+B110</f>
        <v>87</v>
      </c>
      <c r="N109" s="16" t="s">
        <v>0</v>
      </c>
      <c r="O109" s="51"/>
    </row>
    <row r="110" spans="1:17" x14ac:dyDescent="0.25">
      <c r="A110" s="59" t="s">
        <v>1</v>
      </c>
      <c r="B110" s="80">
        <f>+B99</f>
        <v>80</v>
      </c>
      <c r="C110" s="157" t="s">
        <v>0</v>
      </c>
      <c r="D110" s="37"/>
      <c r="E110" s="37"/>
      <c r="F110" s="37"/>
      <c r="G110" s="37"/>
      <c r="H110" s="37"/>
      <c r="I110" s="38"/>
      <c r="J110" s="16" t="s">
        <v>81</v>
      </c>
      <c r="K110" s="51"/>
      <c r="L110" s="51"/>
      <c r="M110" s="51"/>
      <c r="N110" s="51"/>
      <c r="O110" s="51">
        <f>C18*12+C12</f>
        <v>75</v>
      </c>
      <c r="P110" s="16" t="s">
        <v>0</v>
      </c>
      <c r="Q110" s="16" t="s">
        <v>119</v>
      </c>
    </row>
    <row r="111" spans="1:17" x14ac:dyDescent="0.25">
      <c r="A111" s="59"/>
      <c r="B111" s="70"/>
      <c r="C111" s="157"/>
      <c r="D111" s="59" t="s">
        <v>414</v>
      </c>
      <c r="E111" s="72">
        <f>+IF(M109&gt;O110,0,3)</f>
        <v>0</v>
      </c>
      <c r="F111" s="37"/>
      <c r="G111" s="37"/>
      <c r="H111" s="37"/>
      <c r="I111" s="38"/>
    </row>
    <row r="112" spans="1:17" ht="18.75" x14ac:dyDescent="0.35">
      <c r="A112" s="59" t="s">
        <v>60</v>
      </c>
      <c r="B112" s="60">
        <f>2*(C10*1000)^0.5</f>
        <v>126.49110640673517</v>
      </c>
      <c r="C112" s="157" t="s">
        <v>5</v>
      </c>
      <c r="D112" s="37"/>
      <c r="E112" s="37"/>
      <c r="F112" s="37"/>
      <c r="G112" s="37"/>
      <c r="H112" s="37"/>
      <c r="I112" s="38"/>
      <c r="L112" s="16" t="s">
        <v>83</v>
      </c>
      <c r="O112" s="16">
        <f>+B112</f>
        <v>126.49110640673517</v>
      </c>
      <c r="P112" s="16" t="s">
        <v>5</v>
      </c>
    </row>
    <row r="113" spans="1:9" x14ac:dyDescent="0.25">
      <c r="A113" s="59" t="s">
        <v>61</v>
      </c>
      <c r="B113" s="68">
        <f>+C22*12*B110</f>
        <v>13920</v>
      </c>
      <c r="C113" s="157" t="s">
        <v>0</v>
      </c>
      <c r="D113" s="37"/>
      <c r="E113" s="37"/>
      <c r="F113" s="37"/>
      <c r="G113" s="37"/>
      <c r="H113" s="37"/>
      <c r="I113" s="38"/>
    </row>
    <row r="114" spans="1:9" ht="18.75" x14ac:dyDescent="0.35">
      <c r="A114" s="59" t="s">
        <v>7</v>
      </c>
      <c r="B114" s="68">
        <f>+B112*B113/1000</f>
        <v>1760.7562011817536</v>
      </c>
      <c r="C114" s="39" t="s">
        <v>18</v>
      </c>
      <c r="D114" s="37" t="s">
        <v>62</v>
      </c>
      <c r="E114" s="37"/>
      <c r="F114" s="37"/>
      <c r="G114" s="37"/>
      <c r="H114" s="37"/>
      <c r="I114" s="38"/>
    </row>
    <row r="115" spans="1:9" ht="18" x14ac:dyDescent="0.35">
      <c r="A115" s="59" t="s">
        <v>12</v>
      </c>
      <c r="B115" s="68">
        <f>+B114*0.75</f>
        <v>1320.5671508863152</v>
      </c>
      <c r="C115" s="39" t="s">
        <v>18</v>
      </c>
      <c r="D115" s="37"/>
      <c r="E115" s="37"/>
      <c r="F115" s="37"/>
      <c r="G115" s="37"/>
      <c r="H115" s="37"/>
      <c r="I115" s="38"/>
    </row>
    <row r="116" spans="1:9" ht="18" x14ac:dyDescent="0.35">
      <c r="A116" s="59" t="s">
        <v>57</v>
      </c>
      <c r="B116" s="68">
        <f>+E111*C14*C7-C7*0.15*C22*C23*C21/12*((C23/2-M109/12)/C23)</f>
        <v>0</v>
      </c>
      <c r="C116" s="39" t="s">
        <v>18</v>
      </c>
      <c r="D116" s="37" t="s">
        <v>131</v>
      </c>
      <c r="E116" s="37"/>
      <c r="F116" s="37"/>
      <c r="G116" s="37"/>
      <c r="H116" s="37"/>
      <c r="I116" s="38"/>
    </row>
    <row r="117" spans="1:9" ht="18" x14ac:dyDescent="0.35">
      <c r="A117" s="59" t="s">
        <v>14</v>
      </c>
      <c r="B117" s="63">
        <f>+B116/B115</f>
        <v>0</v>
      </c>
      <c r="C117" s="157"/>
      <c r="D117" s="37"/>
      <c r="E117" s="37"/>
      <c r="F117" s="37"/>
      <c r="G117" s="37"/>
      <c r="H117" s="37"/>
      <c r="I117" s="38"/>
    </row>
    <row r="118" spans="1:9" x14ac:dyDescent="0.25">
      <c r="A118" s="34"/>
      <c r="B118" s="37"/>
      <c r="C118" s="37"/>
      <c r="D118" s="37"/>
      <c r="E118" s="37"/>
      <c r="F118" s="37"/>
      <c r="G118" s="37"/>
      <c r="H118" s="37"/>
      <c r="I118" s="38"/>
    </row>
    <row r="119" spans="1:9" x14ac:dyDescent="0.25">
      <c r="A119" s="34"/>
      <c r="B119" s="37"/>
      <c r="C119" s="37"/>
      <c r="D119" s="37"/>
      <c r="E119" s="37"/>
      <c r="F119" s="37"/>
      <c r="G119" s="37"/>
      <c r="H119" s="37"/>
      <c r="I119" s="38"/>
    </row>
    <row r="120" spans="1:9" x14ac:dyDescent="0.25">
      <c r="A120" s="34"/>
      <c r="B120" s="37"/>
      <c r="C120" s="37"/>
      <c r="D120" s="37"/>
      <c r="E120" s="37"/>
      <c r="F120" s="37"/>
      <c r="G120" s="37"/>
      <c r="H120" s="37"/>
      <c r="I120" s="38"/>
    </row>
    <row r="121" spans="1:9" x14ac:dyDescent="0.25">
      <c r="A121" s="34"/>
      <c r="B121" s="37"/>
      <c r="C121" s="37"/>
      <c r="D121" s="37"/>
      <c r="E121" s="37"/>
      <c r="F121" s="37"/>
      <c r="G121" s="37"/>
      <c r="H121" s="37"/>
      <c r="I121" s="38"/>
    </row>
    <row r="122" spans="1:9" x14ac:dyDescent="0.25">
      <c r="A122" s="34"/>
      <c r="B122" s="37"/>
      <c r="C122" s="37"/>
      <c r="D122" s="37"/>
      <c r="E122" s="37"/>
      <c r="F122" s="37"/>
      <c r="G122" s="37"/>
      <c r="H122" s="37"/>
      <c r="I122" s="38"/>
    </row>
    <row r="123" spans="1:9" x14ac:dyDescent="0.25">
      <c r="A123" s="34"/>
      <c r="B123" s="37"/>
      <c r="C123" s="37"/>
      <c r="D123" s="37"/>
      <c r="E123" s="37"/>
      <c r="F123" s="37"/>
      <c r="G123" s="37"/>
      <c r="H123" s="37"/>
      <c r="I123" s="38"/>
    </row>
    <row r="124" spans="1:9" x14ac:dyDescent="0.25">
      <c r="A124" s="34"/>
      <c r="B124" s="37"/>
      <c r="C124" s="37"/>
      <c r="D124" s="37"/>
      <c r="E124" s="37"/>
      <c r="F124" s="37"/>
      <c r="G124" s="37"/>
      <c r="H124" s="37"/>
      <c r="I124" s="38"/>
    </row>
    <row r="125" spans="1:9" x14ac:dyDescent="0.25">
      <c r="A125" s="34"/>
      <c r="B125" s="37"/>
      <c r="C125" s="37"/>
      <c r="D125" s="37"/>
      <c r="E125" s="37"/>
      <c r="F125" s="37"/>
      <c r="G125" s="37"/>
      <c r="H125" s="37"/>
      <c r="I125" s="38"/>
    </row>
    <row r="126" spans="1:9" x14ac:dyDescent="0.25">
      <c r="A126" s="52"/>
      <c r="B126" s="47"/>
      <c r="C126" s="47"/>
      <c r="D126" s="47"/>
      <c r="E126" s="47"/>
      <c r="F126" s="47"/>
      <c r="G126" s="47"/>
      <c r="H126" s="47"/>
      <c r="I126" s="48" t="s">
        <v>422</v>
      </c>
    </row>
    <row r="127" spans="1:9" ht="18.75" x14ac:dyDescent="0.3">
      <c r="A127" s="62" t="s">
        <v>82</v>
      </c>
      <c r="B127" s="56"/>
      <c r="C127" s="56"/>
      <c r="D127" s="56"/>
      <c r="E127" s="56"/>
      <c r="F127" s="56"/>
      <c r="G127" s="56"/>
      <c r="H127" s="56"/>
      <c r="I127" s="57"/>
    </row>
    <row r="128" spans="1:9" x14ac:dyDescent="0.25">
      <c r="A128" s="59" t="s">
        <v>1</v>
      </c>
      <c r="B128" s="43">
        <f>+B87</f>
        <v>80</v>
      </c>
      <c r="C128" s="39" t="s">
        <v>0</v>
      </c>
      <c r="F128" s="37"/>
      <c r="G128" s="37"/>
      <c r="H128" s="37"/>
      <c r="I128" s="38"/>
    </row>
    <row r="129" spans="1:16" x14ac:dyDescent="0.25">
      <c r="A129" s="59" t="s">
        <v>53</v>
      </c>
      <c r="B129" s="63">
        <f>+B128/2</f>
        <v>40</v>
      </c>
      <c r="C129" s="39" t="s">
        <v>0</v>
      </c>
      <c r="F129" s="37"/>
      <c r="G129" s="37"/>
      <c r="H129" s="37"/>
      <c r="I129" s="38"/>
    </row>
    <row r="130" spans="1:16" x14ac:dyDescent="0.25">
      <c r="A130" s="59"/>
      <c r="B130" s="37"/>
      <c r="C130" s="37"/>
      <c r="D130" s="59" t="s">
        <v>453</v>
      </c>
      <c r="E130" s="72">
        <v>8</v>
      </c>
      <c r="G130" s="37"/>
      <c r="H130" s="37"/>
      <c r="I130" s="38"/>
    </row>
    <row r="131" spans="1:16" ht="18" x14ac:dyDescent="0.35">
      <c r="A131" s="59" t="s">
        <v>452</v>
      </c>
      <c r="B131" s="43">
        <f>+C18*12-C43/2+C12</f>
        <v>68</v>
      </c>
      <c r="C131" s="39" t="s">
        <v>0</v>
      </c>
      <c r="D131" s="37" t="str">
        <f>IF(B131&gt;B129,"&gt;","&lt;")</f>
        <v>&gt;</v>
      </c>
      <c r="E131" s="37" t="s">
        <v>17</v>
      </c>
      <c r="F131" s="37" t="str">
        <f>IF(D131="&gt;","Limit state not applicable","This procedure applies")</f>
        <v>Limit state not applicable</v>
      </c>
      <c r="G131" s="37"/>
      <c r="H131" s="37"/>
      <c r="I131" s="38"/>
    </row>
    <row r="132" spans="1:16" ht="18" x14ac:dyDescent="0.35">
      <c r="A132" s="59" t="s">
        <v>57</v>
      </c>
      <c r="B132" s="68">
        <f>+C14*E130*C7-C7*0.15*C22*C23*C21/12+C7*0.15*(C43)/12*(C43)/12*C21/12</f>
        <v>648</v>
      </c>
      <c r="C132" s="39" t="s">
        <v>18</v>
      </c>
      <c r="D132" s="37"/>
      <c r="E132" s="37"/>
      <c r="F132" s="37"/>
      <c r="G132" s="37"/>
      <c r="H132" s="37"/>
      <c r="I132" s="38"/>
    </row>
    <row r="133" spans="1:16" ht="18.75" x14ac:dyDescent="0.35">
      <c r="A133" s="59" t="s">
        <v>3</v>
      </c>
      <c r="B133" s="68">
        <f>4*(C10*1000)^0.5</f>
        <v>252.98221281347034</v>
      </c>
      <c r="C133" s="39" t="s">
        <v>5</v>
      </c>
      <c r="D133" s="37"/>
      <c r="E133" s="37"/>
      <c r="F133" s="37"/>
      <c r="G133" s="37"/>
      <c r="H133" s="37"/>
      <c r="I133" s="38"/>
    </row>
    <row r="134" spans="1:16" ht="18.75" x14ac:dyDescent="0.35">
      <c r="A134" s="59" t="s">
        <v>4</v>
      </c>
      <c r="B134" s="68">
        <f>+B133*8</f>
        <v>2023.8577025077627</v>
      </c>
      <c r="C134" s="39" t="s">
        <v>5</v>
      </c>
      <c r="D134" s="37"/>
      <c r="E134" s="37"/>
      <c r="F134" s="37"/>
      <c r="G134" s="37"/>
      <c r="H134" s="37"/>
      <c r="I134" s="38"/>
    </row>
    <row r="135" spans="1:16" ht="18" x14ac:dyDescent="0.35">
      <c r="A135" s="59" t="s">
        <v>11</v>
      </c>
      <c r="B135" s="61">
        <f>4*(B128+C43)</f>
        <v>376</v>
      </c>
      <c r="C135" s="39" t="s">
        <v>0</v>
      </c>
      <c r="D135" s="37"/>
      <c r="E135" s="37"/>
      <c r="F135" s="37"/>
      <c r="G135" s="37"/>
      <c r="H135" s="37"/>
      <c r="I135" s="38"/>
      <c r="L135" s="16" t="s">
        <v>83</v>
      </c>
      <c r="O135" s="16">
        <f>+B137/4*B133</f>
        <v>999.17344556580724</v>
      </c>
      <c r="P135" s="16" t="s">
        <v>5</v>
      </c>
    </row>
    <row r="136" spans="1:16" ht="18" x14ac:dyDescent="0.35">
      <c r="A136" s="59" t="s">
        <v>2</v>
      </c>
      <c r="B136" s="61">
        <f>4*C43</f>
        <v>56</v>
      </c>
      <c r="C136" s="39" t="s">
        <v>0</v>
      </c>
      <c r="D136" s="37"/>
      <c r="E136" s="37"/>
      <c r="F136" s="37"/>
      <c r="G136" s="37"/>
      <c r="H136" s="37"/>
      <c r="I136" s="38"/>
    </row>
    <row r="137" spans="1:16" x14ac:dyDescent="0.25">
      <c r="A137" s="59" t="s">
        <v>6</v>
      </c>
      <c r="B137" s="61">
        <f>IF(2*B128/B131*(1+B128/C43)&lt;32,2*B128/B131*(1+B128/C43),32)</f>
        <v>15.798319327731093</v>
      </c>
      <c r="C137" s="39"/>
      <c r="D137" s="37" t="s">
        <v>9</v>
      </c>
      <c r="E137" s="37"/>
      <c r="F137" s="37"/>
      <c r="G137" s="37"/>
      <c r="H137" s="37"/>
      <c r="I137" s="38"/>
    </row>
    <row r="138" spans="1:16" ht="18.75" x14ac:dyDescent="0.35">
      <c r="A138" s="59" t="s">
        <v>7</v>
      </c>
      <c r="B138" s="68">
        <f>+B137*(C10*1000)^0.5*B136*B128/1000</f>
        <v>4476.2970361348171</v>
      </c>
      <c r="C138" s="39" t="s">
        <v>18</v>
      </c>
      <c r="D138" s="37" t="s">
        <v>10</v>
      </c>
      <c r="E138" s="37"/>
      <c r="F138" s="37"/>
      <c r="G138" s="37"/>
      <c r="H138" s="37"/>
      <c r="I138" s="38"/>
    </row>
    <row r="139" spans="1:16" ht="18" x14ac:dyDescent="0.35">
      <c r="A139" s="59" t="s">
        <v>12</v>
      </c>
      <c r="B139" s="68">
        <f>+B138*0.75</f>
        <v>3357.222777101113</v>
      </c>
      <c r="C139" s="39" t="s">
        <v>18</v>
      </c>
      <c r="D139" s="37"/>
      <c r="E139" s="37"/>
      <c r="F139" s="37"/>
      <c r="G139" s="37"/>
      <c r="H139" s="37"/>
      <c r="I139" s="38"/>
    </row>
    <row r="140" spans="1:16" ht="18" x14ac:dyDescent="0.35">
      <c r="A140" s="59" t="s">
        <v>14</v>
      </c>
      <c r="B140" s="63">
        <f>+B132/B139</f>
        <v>0.19301668165123481</v>
      </c>
      <c r="C140" s="37"/>
      <c r="D140" s="37"/>
      <c r="E140" s="37"/>
      <c r="F140" s="37"/>
      <c r="G140" s="37"/>
      <c r="H140" s="37"/>
      <c r="I140" s="38"/>
    </row>
    <row r="141" spans="1:16" x14ac:dyDescent="0.25">
      <c r="A141" s="34"/>
      <c r="B141" s="37"/>
      <c r="C141" s="37"/>
      <c r="D141" s="37"/>
      <c r="E141" s="37"/>
      <c r="F141" s="37"/>
      <c r="G141" s="37"/>
      <c r="H141" s="37"/>
      <c r="I141" s="38"/>
    </row>
    <row r="142" spans="1:16" ht="18.75" x14ac:dyDescent="0.3">
      <c r="A142" s="67" t="s">
        <v>133</v>
      </c>
      <c r="B142" s="37"/>
      <c r="C142" s="37"/>
      <c r="D142" s="37"/>
      <c r="E142" s="37"/>
      <c r="F142" s="37"/>
      <c r="G142" s="37"/>
      <c r="H142" s="37"/>
      <c r="I142" s="38"/>
    </row>
    <row r="143" spans="1:16" ht="18.75" x14ac:dyDescent="0.3">
      <c r="A143" s="67" t="s">
        <v>132</v>
      </c>
      <c r="B143" s="37"/>
      <c r="C143" s="37"/>
      <c r="D143" s="37"/>
      <c r="E143" s="37"/>
      <c r="F143" s="37"/>
      <c r="G143" s="37"/>
      <c r="H143" s="37"/>
      <c r="I143" s="38"/>
    </row>
    <row r="144" spans="1:16" x14ac:dyDescent="0.25">
      <c r="A144" s="59" t="s">
        <v>1</v>
      </c>
      <c r="B144" s="40">
        <f>+C21-C15-C16-P21/2</f>
        <v>80.153499999999994</v>
      </c>
      <c r="C144" s="39" t="s">
        <v>0</v>
      </c>
      <c r="D144" s="37"/>
      <c r="E144" s="37"/>
      <c r="F144" s="37"/>
      <c r="G144" s="37"/>
      <c r="H144" s="37"/>
      <c r="I144" s="38"/>
    </row>
    <row r="145" spans="1:16" x14ac:dyDescent="0.25">
      <c r="A145" s="59" t="s">
        <v>63</v>
      </c>
      <c r="B145" s="61">
        <f>+C18*12-C43/2+C12</f>
        <v>68</v>
      </c>
      <c r="C145" s="39" t="s">
        <v>0</v>
      </c>
      <c r="D145" s="70"/>
      <c r="E145" s="37"/>
      <c r="F145" s="37"/>
      <c r="G145" s="37"/>
      <c r="H145" s="37"/>
      <c r="I145" s="38"/>
    </row>
    <row r="146" spans="1:16" x14ac:dyDescent="0.25">
      <c r="A146" s="59" t="s">
        <v>64</v>
      </c>
      <c r="B146" s="61">
        <f>MAX(B145/B144,0)</f>
        <v>0.84837218586836516</v>
      </c>
      <c r="C146" s="39"/>
      <c r="D146" s="70" t="str">
        <f>+IF(B146&lt;1,"OK, this limit state should be checked","Limit state not applicable")</f>
        <v>OK, this limit state should be checked</v>
      </c>
      <c r="E146" s="37"/>
      <c r="F146" s="37"/>
      <c r="G146" s="37"/>
      <c r="H146" s="37"/>
      <c r="I146" s="38"/>
    </row>
    <row r="147" spans="1:16" ht="18" x14ac:dyDescent="0.35">
      <c r="A147" s="59" t="s">
        <v>57</v>
      </c>
      <c r="B147" s="68">
        <f>3*C7*C14-C7*0.15*C22*C23*C21/12*((C22/2-C43/2/12)/C22)</f>
        <v>210.00000000000006</v>
      </c>
      <c r="C147" s="39" t="s">
        <v>18</v>
      </c>
      <c r="D147" s="70"/>
      <c r="E147" s="37"/>
      <c r="F147" s="70"/>
      <c r="G147" s="37"/>
      <c r="H147" s="37"/>
      <c r="I147" s="38"/>
    </row>
    <row r="148" spans="1:16" ht="18" x14ac:dyDescent="0.35">
      <c r="A148" s="59" t="s">
        <v>25</v>
      </c>
      <c r="B148" s="68">
        <f>C7*C14*(3*B145)-C7*0.15*C22*C23*C21/12*((C22/2-C43/2/12)/C22)*(C22/2-C43/2/12)*12/2</f>
        <v>19152</v>
      </c>
      <c r="C148" s="39" t="s">
        <v>26</v>
      </c>
      <c r="D148" s="70"/>
      <c r="E148" s="37"/>
      <c r="F148" s="70"/>
      <c r="G148" s="37"/>
      <c r="H148" s="37"/>
      <c r="I148" s="38"/>
      <c r="L148" s="16" t="s">
        <v>83</v>
      </c>
      <c r="O148" s="16">
        <f>+B151/2*B101</f>
        <v>97.13600685347339</v>
      </c>
      <c r="P148" s="16" t="s">
        <v>5</v>
      </c>
    </row>
    <row r="149" spans="1:16" ht="18" x14ac:dyDescent="0.35">
      <c r="A149" s="59" t="s">
        <v>65</v>
      </c>
      <c r="B149" s="61">
        <f>+B147*B144/B148</f>
        <v>0.87887609649122833</v>
      </c>
      <c r="C149" s="39"/>
      <c r="D149" s="70"/>
      <c r="E149" s="70"/>
      <c r="F149" s="70"/>
      <c r="G149" s="37"/>
      <c r="H149" s="37"/>
      <c r="I149" s="38"/>
    </row>
    <row r="150" spans="1:16" ht="18" x14ac:dyDescent="0.35">
      <c r="A150" s="59" t="s">
        <v>415</v>
      </c>
      <c r="B150" s="61">
        <f>1/B149</f>
        <v>1.1378168139881599</v>
      </c>
      <c r="C150" s="39"/>
      <c r="D150" s="70"/>
      <c r="E150" s="70"/>
      <c r="F150" s="70"/>
      <c r="G150" s="37"/>
      <c r="H150" s="37"/>
      <c r="I150" s="38"/>
    </row>
    <row r="151" spans="1:16" x14ac:dyDescent="0.25">
      <c r="A151" s="59" t="s">
        <v>6</v>
      </c>
      <c r="B151" s="61">
        <f>+MIN(1/B146*(3.5-2.5*B150)*(1.9+0.1*B149),10)</f>
        <v>1.5358551223535075</v>
      </c>
      <c r="C151" s="39"/>
      <c r="D151" s="70"/>
      <c r="E151" s="70"/>
      <c r="F151" s="37"/>
      <c r="G151" s="37"/>
      <c r="H151" s="37"/>
      <c r="I151" s="38"/>
    </row>
    <row r="152" spans="1:16" ht="18" x14ac:dyDescent="0.35">
      <c r="A152" s="59" t="s">
        <v>12</v>
      </c>
      <c r="B152" s="68">
        <f>0.75*B151*(C10*1000)^0.5/1000*C23*12*B144</f>
        <v>1016.0457157555493</v>
      </c>
      <c r="C152" s="39" t="s">
        <v>18</v>
      </c>
      <c r="D152" s="37"/>
      <c r="E152" s="37"/>
      <c r="F152" s="37"/>
      <c r="G152" s="37"/>
      <c r="H152" s="37"/>
      <c r="I152" s="38"/>
    </row>
    <row r="153" spans="1:16" ht="18" x14ac:dyDescent="0.35">
      <c r="A153" s="59" t="s">
        <v>14</v>
      </c>
      <c r="B153" s="63">
        <f>+B147/B152</f>
        <v>0.20668361348666325</v>
      </c>
      <c r="C153" s="37"/>
      <c r="D153" s="37"/>
      <c r="E153" s="37"/>
      <c r="F153" s="37"/>
      <c r="G153" s="37"/>
      <c r="H153" s="37"/>
      <c r="I153" s="38"/>
    </row>
    <row r="154" spans="1:16" x14ac:dyDescent="0.25">
      <c r="A154" s="34"/>
      <c r="B154" s="37"/>
      <c r="C154" s="37"/>
      <c r="D154" s="37"/>
      <c r="E154" s="37"/>
      <c r="F154" s="37"/>
      <c r="G154" s="37"/>
      <c r="H154" s="37"/>
      <c r="I154" s="38"/>
    </row>
    <row r="155" spans="1:16" ht="18.75" x14ac:dyDescent="0.3">
      <c r="A155" s="67" t="s">
        <v>140</v>
      </c>
      <c r="B155" s="37"/>
      <c r="C155" s="37"/>
      <c r="D155" s="37"/>
      <c r="E155" s="37"/>
      <c r="F155" s="37"/>
      <c r="G155" s="37"/>
      <c r="H155" s="37"/>
      <c r="I155" s="38"/>
    </row>
    <row r="156" spans="1:16" ht="18.75" x14ac:dyDescent="0.3">
      <c r="A156" s="67" t="s">
        <v>141</v>
      </c>
      <c r="B156" s="37"/>
      <c r="C156" s="37"/>
      <c r="D156" s="37"/>
      <c r="E156" s="37"/>
      <c r="F156" s="37"/>
      <c r="G156" s="37"/>
      <c r="H156" s="37"/>
      <c r="I156" s="38"/>
    </row>
    <row r="157" spans="1:16" x14ac:dyDescent="0.25">
      <c r="A157" s="59" t="s">
        <v>1</v>
      </c>
      <c r="B157" s="40">
        <f>+C21-C15-C16-P21-L21/2</f>
        <v>78.460499999999996</v>
      </c>
      <c r="C157" s="39" t="s">
        <v>0</v>
      </c>
      <c r="D157" s="37"/>
      <c r="E157" s="37"/>
      <c r="F157" s="37"/>
      <c r="G157" s="37"/>
      <c r="H157" s="37"/>
      <c r="I157" s="38"/>
    </row>
    <row r="158" spans="1:16" x14ac:dyDescent="0.25">
      <c r="A158" s="59" t="s">
        <v>63</v>
      </c>
      <c r="B158" s="61">
        <f>+C18*12-C43/2+C12</f>
        <v>68</v>
      </c>
      <c r="C158" s="39" t="s">
        <v>0</v>
      </c>
      <c r="D158" s="70"/>
      <c r="E158" s="37"/>
      <c r="F158" s="37"/>
      <c r="G158" s="37"/>
      <c r="H158" s="37"/>
      <c r="I158" s="38"/>
    </row>
    <row r="159" spans="1:16" x14ac:dyDescent="0.25">
      <c r="A159" s="59" t="s">
        <v>64</v>
      </c>
      <c r="B159" s="61">
        <f>MAX(B158/B157,0)</f>
        <v>0.86667813740672062</v>
      </c>
      <c r="C159" s="39"/>
      <c r="D159" s="70" t="str">
        <f>+IF(B159&lt;1,"OK, this limit state should be checked","Limit state not applicable")</f>
        <v>OK, this limit state should be checked</v>
      </c>
      <c r="E159" s="37"/>
      <c r="F159" s="37"/>
      <c r="G159" s="37"/>
      <c r="H159" s="37"/>
      <c r="I159" s="38"/>
    </row>
    <row r="160" spans="1:16" ht="18" x14ac:dyDescent="0.35">
      <c r="A160" s="59" t="s">
        <v>57</v>
      </c>
      <c r="B160" s="68">
        <f>3*C7*C14-C7*0.15*C22*C23*C21/12*((C23/2-C43/2/12)/C23)</f>
        <v>210.00000000000006</v>
      </c>
      <c r="C160" s="39" t="s">
        <v>18</v>
      </c>
      <c r="D160" s="70"/>
      <c r="E160" s="37"/>
      <c r="F160" s="70"/>
      <c r="G160" s="37"/>
      <c r="H160" s="37"/>
      <c r="I160" s="38"/>
    </row>
    <row r="161" spans="1:32" ht="18" x14ac:dyDescent="0.35">
      <c r="A161" s="59" t="s">
        <v>25</v>
      </c>
      <c r="B161" s="68">
        <f>C7*C14*(3*B158)-C7*0.15*C22*C23*C21/12*((C23/2-C43/2/12)/C23)*(C23/2-C43/2/12)*12/2</f>
        <v>19152</v>
      </c>
      <c r="C161" s="39" t="s">
        <v>26</v>
      </c>
      <c r="D161" s="70"/>
      <c r="E161" s="37"/>
      <c r="F161" s="70"/>
      <c r="G161" s="37"/>
      <c r="H161" s="37"/>
      <c r="I161" s="38"/>
      <c r="L161" s="16" t="s">
        <v>83</v>
      </c>
      <c r="O161" s="16">
        <f>+B164/2*B112</f>
        <v>86.099884570744052</v>
      </c>
      <c r="P161" s="16" t="s">
        <v>5</v>
      </c>
    </row>
    <row r="162" spans="1:32" ht="18" x14ac:dyDescent="0.35">
      <c r="A162" s="59" t="s">
        <v>65</v>
      </c>
      <c r="B162" s="61">
        <f>+B160*B157/B161</f>
        <v>0.86031250000000026</v>
      </c>
      <c r="C162" s="39"/>
      <c r="D162" s="70"/>
      <c r="E162" s="70"/>
      <c r="F162" s="70"/>
      <c r="G162" s="37"/>
      <c r="H162" s="37"/>
      <c r="I162" s="38"/>
    </row>
    <row r="163" spans="1:32" ht="18" x14ac:dyDescent="0.35">
      <c r="A163" s="59" t="s">
        <v>415</v>
      </c>
      <c r="B163" s="61">
        <f>1/B162</f>
        <v>1.1623683254631307</v>
      </c>
      <c r="C163" s="39"/>
      <c r="D163" s="70"/>
      <c r="E163" s="70"/>
      <c r="F163" s="70"/>
      <c r="G163" s="37"/>
      <c r="H163" s="37"/>
      <c r="I163" s="38"/>
    </row>
    <row r="164" spans="1:32" x14ac:dyDescent="0.25">
      <c r="A164" s="59" t="s">
        <v>6</v>
      </c>
      <c r="B164" s="61">
        <f>+MIN(1/B159*(3.5-2.5*B163)*(1.9+0.1*B162),10)</f>
        <v>1.3613587076057003</v>
      </c>
      <c r="C164" s="39"/>
      <c r="D164" s="70"/>
      <c r="E164" s="70"/>
      <c r="F164" s="37"/>
      <c r="G164" s="37"/>
      <c r="H164" s="37"/>
      <c r="I164" s="38"/>
    </row>
    <row r="165" spans="1:32" ht="18" x14ac:dyDescent="0.35">
      <c r="A165" s="59" t="s">
        <v>12</v>
      </c>
      <c r="B165" s="68">
        <f>0.75*B164*(C10*1000)^0.5/1000*C22*12*B157</f>
        <v>881.58491913385365</v>
      </c>
      <c r="C165" s="39" t="s">
        <v>18</v>
      </c>
      <c r="D165" s="37"/>
      <c r="E165" s="37"/>
      <c r="F165" s="37"/>
      <c r="G165" s="37"/>
      <c r="H165" s="37"/>
      <c r="I165" s="38"/>
    </row>
    <row r="166" spans="1:32" ht="18" x14ac:dyDescent="0.35">
      <c r="A166" s="59" t="s">
        <v>14</v>
      </c>
      <c r="B166" s="63">
        <f>+B160/B165</f>
        <v>0.23820734162095522</v>
      </c>
      <c r="C166" s="37"/>
      <c r="D166" s="37"/>
      <c r="E166" s="37"/>
      <c r="F166" s="37"/>
      <c r="G166" s="37"/>
      <c r="H166" s="37"/>
      <c r="I166" s="38"/>
    </row>
    <row r="167" spans="1:32" ht="18.75" x14ac:dyDescent="0.3">
      <c r="A167" s="52"/>
      <c r="B167" s="47"/>
      <c r="C167" s="47"/>
      <c r="D167" s="47"/>
      <c r="E167" s="47"/>
      <c r="F167" s="47"/>
      <c r="G167" s="47"/>
      <c r="H167" s="47"/>
      <c r="I167" s="48" t="s">
        <v>422</v>
      </c>
      <c r="Q167" s="50" t="s">
        <v>84</v>
      </c>
    </row>
    <row r="168" spans="1:32" ht="18.75" x14ac:dyDescent="0.3">
      <c r="A168" s="62" t="s">
        <v>67</v>
      </c>
      <c r="B168" s="56"/>
      <c r="C168" s="56"/>
      <c r="D168" s="56"/>
      <c r="E168" s="56"/>
      <c r="F168" s="56"/>
      <c r="G168" s="56"/>
      <c r="H168" s="56"/>
      <c r="I168" s="57"/>
      <c r="Q168" s="16" t="s">
        <v>1</v>
      </c>
      <c r="T168" s="16">
        <f>+C28</f>
        <v>80</v>
      </c>
      <c r="U168" s="16" t="s">
        <v>0</v>
      </c>
      <c r="W168" s="51"/>
    </row>
    <row r="169" spans="1:32" x14ac:dyDescent="0.25">
      <c r="A169" s="34" t="s">
        <v>68</v>
      </c>
      <c r="B169" s="37"/>
      <c r="C169" s="37"/>
      <c r="D169" s="37"/>
      <c r="E169" s="37"/>
      <c r="F169" s="37"/>
      <c r="G169" s="37"/>
      <c r="H169" s="37"/>
      <c r="I169" s="38"/>
      <c r="Q169" s="16" t="s">
        <v>53</v>
      </c>
      <c r="T169" s="16">
        <f>+T168/2</f>
        <v>40</v>
      </c>
      <c r="U169" s="16" t="s">
        <v>0</v>
      </c>
      <c r="W169" s="51"/>
    </row>
    <row r="170" spans="1:32" x14ac:dyDescent="0.25">
      <c r="A170" s="59" t="s">
        <v>417</v>
      </c>
      <c r="B170" s="77">
        <f>+C23*C22*C21/12/27</f>
        <v>58.402777777777779</v>
      </c>
      <c r="C170" s="39" t="s">
        <v>418</v>
      </c>
      <c r="D170" s="37"/>
      <c r="E170" s="37"/>
      <c r="F170" s="37"/>
      <c r="G170" s="37"/>
      <c r="H170" s="37"/>
      <c r="I170" s="38"/>
      <c r="Q170" s="16" t="s">
        <v>114</v>
      </c>
      <c r="R170" s="51"/>
      <c r="T170" s="51">
        <f>+M29+T168</f>
        <v>100</v>
      </c>
      <c r="U170" s="16" t="s">
        <v>0</v>
      </c>
      <c r="V170" s="51"/>
      <c r="W170" s="51"/>
    </row>
    <row r="171" spans="1:32" ht="17.25" x14ac:dyDescent="0.25">
      <c r="A171" s="34"/>
      <c r="B171" s="37"/>
      <c r="C171" s="37"/>
      <c r="D171" s="37"/>
      <c r="E171" s="37"/>
      <c r="F171" s="37"/>
      <c r="G171" s="37"/>
      <c r="H171" s="37"/>
      <c r="I171" s="38"/>
      <c r="Q171" s="16" t="s">
        <v>85</v>
      </c>
      <c r="R171" s="51"/>
      <c r="S171" s="51"/>
      <c r="T171" s="51">
        <f>3.1415*T170*T168</f>
        <v>25132.000000000004</v>
      </c>
      <c r="U171" s="16" t="s">
        <v>34</v>
      </c>
    </row>
    <row r="172" spans="1:32" ht="18.75" x14ac:dyDescent="0.35">
      <c r="A172" s="34" t="s">
        <v>69</v>
      </c>
      <c r="B172" s="37"/>
      <c r="C172" s="37"/>
      <c r="D172" s="37"/>
      <c r="E172" s="37"/>
      <c r="F172" s="37"/>
      <c r="G172" s="37"/>
      <c r="H172" s="37"/>
      <c r="I172" s="38"/>
      <c r="Q172" s="16" t="s">
        <v>3</v>
      </c>
      <c r="R172" s="16">
        <f>4*(C10*1000)^0.5</f>
        <v>252.98221281347034</v>
      </c>
      <c r="S172" s="16" t="s">
        <v>5</v>
      </c>
      <c r="AB172" s="16" t="s">
        <v>86</v>
      </c>
      <c r="AE172" s="16">
        <f>+R175/T171*1000</f>
        <v>1.1868583877128747</v>
      </c>
      <c r="AF172" s="16" t="s">
        <v>5</v>
      </c>
    </row>
    <row r="173" spans="1:32" ht="18.75" x14ac:dyDescent="0.35">
      <c r="A173" s="34"/>
      <c r="B173" s="40">
        <f>+C66</f>
        <v>18</v>
      </c>
      <c r="C173" s="39" t="s">
        <v>70</v>
      </c>
      <c r="D173" s="72" t="str">
        <f>"#"&amp;+C24</f>
        <v>#14</v>
      </c>
      <c r="E173" s="37" t="s">
        <v>71</v>
      </c>
      <c r="F173" s="37" t="s">
        <v>72</v>
      </c>
      <c r="G173" s="43">
        <f>+C23-0.5</f>
        <v>14</v>
      </c>
      <c r="H173" s="39" t="s">
        <v>73</v>
      </c>
      <c r="I173" s="38"/>
      <c r="Q173" s="16" t="s">
        <v>7</v>
      </c>
      <c r="R173" s="16">
        <f>+R172*T171/1000</f>
        <v>6357.9489724281375</v>
      </c>
      <c r="S173" s="16" t="s">
        <v>8</v>
      </c>
      <c r="T173" s="16" t="s">
        <v>87</v>
      </c>
    </row>
    <row r="174" spans="1:32" ht="18" x14ac:dyDescent="0.35">
      <c r="A174" s="34"/>
      <c r="B174" s="44">
        <f>+B173*2</f>
        <v>36</v>
      </c>
      <c r="C174" s="39" t="s">
        <v>70</v>
      </c>
      <c r="D174" s="37"/>
      <c r="E174" s="37" t="s">
        <v>74</v>
      </c>
      <c r="F174" s="37" t="s">
        <v>72</v>
      </c>
      <c r="G174" s="63">
        <f>+M19/12</f>
        <v>2.0749831250000006</v>
      </c>
      <c r="H174" s="39" t="s">
        <v>73</v>
      </c>
      <c r="I174" s="38"/>
      <c r="Q174" s="16" t="s">
        <v>12</v>
      </c>
      <c r="R174" s="16">
        <f>+R173*0.75</f>
        <v>4768.4617293211031</v>
      </c>
      <c r="S174" s="16" t="s">
        <v>8</v>
      </c>
    </row>
    <row r="175" spans="1:32" ht="18" x14ac:dyDescent="0.35">
      <c r="A175" s="59" t="s">
        <v>75</v>
      </c>
      <c r="B175" s="78">
        <f>+B173*G173*L22/144*490+B174*G174*L22/144*490</f>
        <v>2502.493186911558</v>
      </c>
      <c r="C175" s="39" t="s">
        <v>78</v>
      </c>
      <c r="D175" s="37"/>
      <c r="E175" s="37"/>
      <c r="F175" s="37"/>
      <c r="G175" s="37"/>
      <c r="H175" s="37"/>
      <c r="I175" s="38"/>
      <c r="Q175" s="16" t="s">
        <v>57</v>
      </c>
      <c r="R175" s="16">
        <f>C7*C14-C7*(3.1415*(T170/12)^2/4*C21/12*0.15)</f>
        <v>29.828124999999972</v>
      </c>
      <c r="S175" s="16" t="s">
        <v>8</v>
      </c>
      <c r="T175" s="16" t="s">
        <v>344</v>
      </c>
    </row>
    <row r="176" spans="1:32" ht="18" x14ac:dyDescent="0.35">
      <c r="A176" s="34" t="s">
        <v>76</v>
      </c>
      <c r="B176" s="37"/>
      <c r="C176" s="37"/>
      <c r="D176" s="37"/>
      <c r="E176" s="37"/>
      <c r="F176" s="37"/>
      <c r="G176" s="37"/>
      <c r="H176" s="37"/>
      <c r="I176" s="38"/>
      <c r="Q176" s="16" t="s">
        <v>14</v>
      </c>
      <c r="R176" s="16">
        <f>+R175/R174</f>
        <v>6.2552929420798082E-3</v>
      </c>
    </row>
    <row r="177" spans="1:32" x14ac:dyDescent="0.25">
      <c r="A177" s="34"/>
      <c r="B177" s="40">
        <f>+C84</f>
        <v>18</v>
      </c>
      <c r="C177" s="39" t="s">
        <v>70</v>
      </c>
      <c r="D177" s="72" t="str">
        <f>"#"&amp;+C25</f>
        <v>#14</v>
      </c>
      <c r="E177" s="37" t="s">
        <v>71</v>
      </c>
      <c r="F177" s="37" t="s">
        <v>72</v>
      </c>
      <c r="G177" s="43">
        <f>+C22-0.5</f>
        <v>14</v>
      </c>
      <c r="H177" s="39" t="s">
        <v>73</v>
      </c>
      <c r="I177" s="38"/>
    </row>
    <row r="178" spans="1:32" ht="18.75" x14ac:dyDescent="0.3">
      <c r="A178" s="34"/>
      <c r="B178" s="44">
        <f>+B177*2</f>
        <v>36</v>
      </c>
      <c r="C178" s="39" t="s">
        <v>70</v>
      </c>
      <c r="D178" s="37"/>
      <c r="E178" s="37" t="s">
        <v>74</v>
      </c>
      <c r="F178" s="37" t="s">
        <v>72</v>
      </c>
      <c r="G178" s="63">
        <f>+M20/12</f>
        <v>2.0749831250000006</v>
      </c>
      <c r="H178" s="39" t="s">
        <v>73</v>
      </c>
      <c r="I178" s="38"/>
      <c r="Q178" s="50" t="s">
        <v>89</v>
      </c>
    </row>
    <row r="179" spans="1:32" x14ac:dyDescent="0.25">
      <c r="A179" s="59" t="s">
        <v>75</v>
      </c>
      <c r="B179" s="78">
        <f>+B177*G177*P22/144*490+B178*G178*P22/144*490</f>
        <v>2502.493186911558</v>
      </c>
      <c r="C179" s="39" t="s">
        <v>78</v>
      </c>
      <c r="D179" s="37"/>
      <c r="E179" s="37"/>
      <c r="F179" s="37"/>
      <c r="G179" s="37"/>
      <c r="H179" s="37"/>
      <c r="I179" s="38"/>
      <c r="Q179" s="16" t="s">
        <v>1</v>
      </c>
      <c r="T179" s="16">
        <f>+C28</f>
        <v>80</v>
      </c>
      <c r="U179" s="16" t="s">
        <v>0</v>
      </c>
      <c r="V179" s="16" t="s">
        <v>52</v>
      </c>
      <c r="W179" s="51"/>
    </row>
    <row r="180" spans="1:32" x14ac:dyDescent="0.25">
      <c r="A180" s="34"/>
      <c r="B180" s="37"/>
      <c r="C180" s="37"/>
      <c r="D180" s="37"/>
      <c r="E180" s="37"/>
      <c r="F180" s="37"/>
      <c r="G180" s="37"/>
      <c r="H180" s="37"/>
      <c r="I180" s="38"/>
      <c r="Q180" s="16" t="s">
        <v>53</v>
      </c>
      <c r="T180" s="16">
        <f>+T179/2</f>
        <v>40</v>
      </c>
      <c r="U180" s="16" t="s">
        <v>0</v>
      </c>
      <c r="W180" s="51"/>
    </row>
    <row r="181" spans="1:32" x14ac:dyDescent="0.25">
      <c r="A181" s="34"/>
      <c r="B181" s="71" t="s">
        <v>77</v>
      </c>
      <c r="C181" s="79">
        <f>+B179+B175</f>
        <v>5004.9863738231161</v>
      </c>
      <c r="D181" s="39" t="s">
        <v>78</v>
      </c>
      <c r="E181" s="37" t="s">
        <v>79</v>
      </c>
      <c r="F181" s="80">
        <f>+C181/2000</f>
        <v>2.5024931869115581</v>
      </c>
      <c r="G181" s="39" t="s">
        <v>19</v>
      </c>
      <c r="H181" s="37"/>
      <c r="I181" s="38"/>
      <c r="Q181" s="16" t="s">
        <v>143</v>
      </c>
      <c r="R181" s="51"/>
      <c r="T181" s="51">
        <f>+C18*12*2</f>
        <v>144</v>
      </c>
      <c r="U181" s="16" t="s">
        <v>0</v>
      </c>
      <c r="W181" s="51"/>
    </row>
    <row r="182" spans="1:32" x14ac:dyDescent="0.25">
      <c r="A182" s="34"/>
      <c r="B182" s="37"/>
      <c r="C182" s="37"/>
      <c r="D182" s="37"/>
      <c r="E182" s="37"/>
      <c r="F182" s="37"/>
      <c r="G182" s="37"/>
      <c r="H182" s="37"/>
      <c r="I182" s="38"/>
      <c r="Q182" s="16" t="s">
        <v>142</v>
      </c>
      <c r="R182" s="51"/>
      <c r="T182" s="51">
        <f>+(M29+T168)*3.1415</f>
        <v>314.15000000000003</v>
      </c>
      <c r="U182" s="16" t="s">
        <v>0</v>
      </c>
      <c r="V182" s="51"/>
      <c r="W182" s="51"/>
    </row>
    <row r="183" spans="1:32" ht="17.25" x14ac:dyDescent="0.25">
      <c r="A183" s="34"/>
      <c r="B183" s="37"/>
      <c r="C183" s="37"/>
      <c r="D183" s="37"/>
      <c r="E183" s="37"/>
      <c r="F183" s="37"/>
      <c r="G183" s="37"/>
      <c r="H183" s="37"/>
      <c r="I183" s="38"/>
      <c r="Q183" s="16" t="s">
        <v>85</v>
      </c>
      <c r="R183" s="51"/>
      <c r="S183" s="51"/>
      <c r="T183" s="51">
        <f>+(T182+T181)*T179</f>
        <v>36652</v>
      </c>
      <c r="U183" s="16" t="s">
        <v>34</v>
      </c>
    </row>
    <row r="184" spans="1:32" ht="18.75" x14ac:dyDescent="0.35">
      <c r="A184" s="33" t="s">
        <v>419</v>
      </c>
      <c r="B184" s="29"/>
      <c r="C184" s="29"/>
      <c r="D184" s="29"/>
      <c r="E184" s="29"/>
      <c r="F184" s="29"/>
      <c r="G184" s="29"/>
      <c r="H184" s="29"/>
      <c r="I184" s="30"/>
      <c r="Q184" s="16" t="s">
        <v>3</v>
      </c>
      <c r="R184" s="16">
        <f>4*(C10*1000)^0.5</f>
        <v>252.98221281347034</v>
      </c>
      <c r="S184" s="16" t="s">
        <v>5</v>
      </c>
      <c r="AB184" s="16" t="s">
        <v>86</v>
      </c>
      <c r="AE184" s="16">
        <f>+R187/T183*1000</f>
        <v>1.8505981938229836</v>
      </c>
      <c r="AF184" s="16" t="s">
        <v>5</v>
      </c>
    </row>
    <row r="185" spans="1:32" ht="18.75" x14ac:dyDescent="0.35">
      <c r="A185" s="87"/>
      <c r="B185" s="29"/>
      <c r="C185" s="29"/>
      <c r="D185" s="29"/>
      <c r="E185" s="29"/>
      <c r="F185" s="29"/>
      <c r="G185" s="29"/>
      <c r="H185" s="29"/>
      <c r="I185" s="30"/>
      <c r="Q185" s="16" t="s">
        <v>7</v>
      </c>
      <c r="R185" s="16">
        <f>+R184*T183/1000</f>
        <v>9272.3040640393137</v>
      </c>
      <c r="S185" s="16" t="s">
        <v>8</v>
      </c>
      <c r="T185" s="16" t="s">
        <v>87</v>
      </c>
    </row>
    <row r="186" spans="1:32" ht="18" x14ac:dyDescent="0.35">
      <c r="A186" s="87"/>
      <c r="B186" s="29"/>
      <c r="C186" s="29"/>
      <c r="D186" s="29"/>
      <c r="E186" s="29"/>
      <c r="F186" s="29"/>
      <c r="G186" s="29"/>
      <c r="H186" s="29"/>
      <c r="I186" s="30"/>
      <c r="Q186" s="16" t="s">
        <v>12</v>
      </c>
      <c r="R186" s="16">
        <f>+R185*0.75</f>
        <v>6954.2280480294849</v>
      </c>
      <c r="S186" s="16" t="s">
        <v>8</v>
      </c>
    </row>
    <row r="187" spans="1:32" ht="18" x14ac:dyDescent="0.35">
      <c r="A187" s="87"/>
      <c r="B187" s="29"/>
      <c r="C187" s="29"/>
      <c r="D187" s="29"/>
      <c r="E187" s="29"/>
      <c r="F187" s="29"/>
      <c r="G187" s="29"/>
      <c r="H187" s="29"/>
      <c r="I187" s="30"/>
      <c r="Q187" s="16" t="s">
        <v>57</v>
      </c>
      <c r="R187" s="16">
        <f>2*C7*C14-C7*(C18*(C17/12+T179/12)+3.1415*(C17/12+T179/12)^2/4)*C21/12*0.15</f>
        <v>67.828125</v>
      </c>
      <c r="S187" s="16" t="s">
        <v>8</v>
      </c>
      <c r="T187" s="16" t="s">
        <v>344</v>
      </c>
    </row>
    <row r="188" spans="1:32" ht="18" x14ac:dyDescent="0.35">
      <c r="A188" s="87"/>
      <c r="B188" s="29"/>
      <c r="C188" s="29"/>
      <c r="D188" s="29"/>
      <c r="E188" s="29"/>
      <c r="F188" s="29"/>
      <c r="G188" s="29"/>
      <c r="H188" s="29"/>
      <c r="I188" s="30"/>
      <c r="Q188" s="16" t="s">
        <v>14</v>
      </c>
      <c r="R188" s="16">
        <f>+R187/R186</f>
        <v>9.7535088771239595E-3</v>
      </c>
    </row>
    <row r="189" spans="1:32" x14ac:dyDescent="0.25">
      <c r="A189" s="87"/>
      <c r="B189" s="29"/>
      <c r="C189" s="29"/>
      <c r="D189" s="29"/>
      <c r="E189" s="29"/>
      <c r="F189" s="29"/>
      <c r="G189" s="29"/>
      <c r="H189" s="29"/>
      <c r="I189" s="30"/>
    </row>
    <row r="190" spans="1:32" ht="18.75" x14ac:dyDescent="0.3">
      <c r="A190" s="87"/>
      <c r="B190" s="29"/>
      <c r="C190" s="29"/>
      <c r="D190" s="29"/>
      <c r="E190" s="29"/>
      <c r="F190" s="29"/>
      <c r="G190" s="29"/>
      <c r="H190" s="29"/>
      <c r="I190" s="30"/>
      <c r="Q190" s="50" t="s">
        <v>88</v>
      </c>
    </row>
    <row r="191" spans="1:32" x14ac:dyDescent="0.25">
      <c r="A191" s="87"/>
      <c r="B191" s="29"/>
      <c r="C191" s="29"/>
      <c r="D191" s="29"/>
      <c r="E191" s="29"/>
      <c r="F191" s="29"/>
      <c r="G191" s="29"/>
      <c r="H191" s="29"/>
      <c r="I191" s="30"/>
      <c r="Q191" s="16" t="s">
        <v>1</v>
      </c>
      <c r="T191" s="16">
        <f>+C28</f>
        <v>80</v>
      </c>
      <c r="U191" s="16" t="s">
        <v>0</v>
      </c>
      <c r="V191" s="16" t="s">
        <v>52</v>
      </c>
      <c r="W191" s="51"/>
    </row>
    <row r="192" spans="1:32" x14ac:dyDescent="0.25">
      <c r="A192" s="87"/>
      <c r="B192" s="29"/>
      <c r="C192" s="29"/>
      <c r="D192" s="29"/>
      <c r="E192" s="29"/>
      <c r="F192" s="29"/>
      <c r="G192" s="29"/>
      <c r="H192" s="29"/>
      <c r="I192" s="30"/>
      <c r="Q192" s="16" t="s">
        <v>53</v>
      </c>
      <c r="T192" s="16">
        <f>+T191/2</f>
        <v>40</v>
      </c>
      <c r="U192" s="16" t="s">
        <v>0</v>
      </c>
      <c r="W192" s="51"/>
    </row>
    <row r="193" spans="1:32" x14ac:dyDescent="0.25">
      <c r="A193" s="87"/>
      <c r="B193" s="29"/>
      <c r="C193" s="29"/>
      <c r="D193" s="29"/>
      <c r="E193" s="29"/>
      <c r="F193" s="29"/>
      <c r="G193" s="29"/>
      <c r="H193" s="29"/>
      <c r="I193" s="30"/>
      <c r="Q193" s="16" t="s">
        <v>144</v>
      </c>
      <c r="R193" s="51"/>
      <c r="T193" s="51">
        <f>2*C19+3.1415*T170/4</f>
        <v>108.53750000000001</v>
      </c>
      <c r="U193" s="16" t="s">
        <v>0</v>
      </c>
      <c r="V193" s="51"/>
      <c r="W193" s="51"/>
    </row>
    <row r="194" spans="1:32" ht="17.25" x14ac:dyDescent="0.25">
      <c r="A194" s="87"/>
      <c r="B194" s="29"/>
      <c r="C194" s="29"/>
      <c r="D194" s="29"/>
      <c r="E194" s="29"/>
      <c r="F194" s="29"/>
      <c r="G194" s="29"/>
      <c r="H194" s="29"/>
      <c r="I194" s="30"/>
      <c r="Q194" s="16" t="s">
        <v>85</v>
      </c>
      <c r="R194" s="51"/>
      <c r="S194" s="51"/>
      <c r="T194" s="51">
        <f>+T193*T191</f>
        <v>8683</v>
      </c>
      <c r="U194" s="16" t="s">
        <v>34</v>
      </c>
    </row>
    <row r="195" spans="1:32" ht="18.75" x14ac:dyDescent="0.35">
      <c r="A195" s="87"/>
      <c r="B195" s="29"/>
      <c r="C195" s="29"/>
      <c r="D195" s="29"/>
      <c r="E195" s="29"/>
      <c r="F195" s="29"/>
      <c r="G195" s="29"/>
      <c r="H195" s="29"/>
      <c r="I195" s="30"/>
      <c r="Q195" s="16" t="s">
        <v>3</v>
      </c>
      <c r="R195" s="16">
        <f>4*(C10*1000)^0.5</f>
        <v>252.98221281347034</v>
      </c>
      <c r="S195" s="16" t="s">
        <v>5</v>
      </c>
      <c r="AB195" s="16" t="s">
        <v>86</v>
      </c>
      <c r="AE195" s="16">
        <f>+R198/T194*1000</f>
        <v>9.4315940631118274</v>
      </c>
      <c r="AF195" s="16" t="s">
        <v>5</v>
      </c>
    </row>
    <row r="196" spans="1:32" ht="18.75" x14ac:dyDescent="0.35">
      <c r="A196" s="87"/>
      <c r="B196" s="29"/>
      <c r="C196" s="29"/>
      <c r="D196" s="29"/>
      <c r="E196" s="29"/>
      <c r="F196" s="29"/>
      <c r="G196" s="29"/>
      <c r="H196" s="29"/>
      <c r="I196" s="30"/>
      <c r="Q196" s="16" t="s">
        <v>7</v>
      </c>
      <c r="R196" s="16">
        <f>+R195*T194/1000</f>
        <v>2196.644553859363</v>
      </c>
      <c r="S196" s="16" t="s">
        <v>8</v>
      </c>
      <c r="T196" s="16" t="s">
        <v>87</v>
      </c>
    </row>
    <row r="197" spans="1:32" ht="18" x14ac:dyDescent="0.35">
      <c r="A197" s="87"/>
      <c r="B197" s="29"/>
      <c r="C197" s="29"/>
      <c r="D197" s="29"/>
      <c r="E197" s="29"/>
      <c r="F197" s="29"/>
      <c r="G197" s="29"/>
      <c r="H197" s="29"/>
      <c r="I197" s="30"/>
      <c r="Q197" s="16" t="s">
        <v>12</v>
      </c>
      <c r="R197" s="16">
        <f>+R196*0.75</f>
        <v>1647.4834153945221</v>
      </c>
      <c r="S197" s="16" t="s">
        <v>8</v>
      </c>
    </row>
    <row r="198" spans="1:32" ht="18" x14ac:dyDescent="0.35">
      <c r="A198" s="87"/>
      <c r="B198" s="29"/>
      <c r="C198" s="29"/>
      <c r="D198" s="29"/>
      <c r="E198" s="29"/>
      <c r="F198" s="29"/>
      <c r="G198" s="29"/>
      <c r="H198" s="29"/>
      <c r="I198" s="30"/>
      <c r="Q198" s="16" t="s">
        <v>57</v>
      </c>
      <c r="R198" s="16">
        <f>C7*C14-C7*V199*C21/12*0.15</f>
        <v>81.89453125</v>
      </c>
      <c r="S198" s="16" t="s">
        <v>8</v>
      </c>
      <c r="T198" s="16" t="s">
        <v>344</v>
      </c>
    </row>
    <row r="199" spans="1:32" ht="18.75" x14ac:dyDescent="0.35">
      <c r="A199" s="87"/>
      <c r="B199" s="29"/>
      <c r="C199" s="29"/>
      <c r="D199" s="29"/>
      <c r="E199" s="29"/>
      <c r="F199" s="29"/>
      <c r="G199" s="29"/>
      <c r="H199" s="29"/>
      <c r="I199" s="30"/>
      <c r="Q199" s="16" t="s">
        <v>14</v>
      </c>
      <c r="R199" s="16">
        <f>+R198/R197</f>
        <v>4.9708865342592085E-2</v>
      </c>
      <c r="T199" s="16" t="s">
        <v>145</v>
      </c>
      <c r="V199" s="16">
        <f>+(C19*C19+C19*T170+3.1415*T170^2/4/4)/144</f>
        <v>25.614149305555557</v>
      </c>
      <c r="W199" s="16" t="s">
        <v>146</v>
      </c>
    </row>
    <row r="200" spans="1:32" x14ac:dyDescent="0.25">
      <c r="A200" s="87"/>
      <c r="B200" s="29"/>
      <c r="C200" s="29"/>
      <c r="D200" s="29"/>
      <c r="E200" s="29"/>
      <c r="F200" s="29"/>
      <c r="G200" s="29"/>
      <c r="H200" s="29"/>
      <c r="I200" s="30"/>
    </row>
    <row r="201" spans="1:32" ht="20.25" x14ac:dyDescent="0.35">
      <c r="A201" s="87"/>
      <c r="B201" s="29"/>
      <c r="C201" s="29"/>
      <c r="D201" s="29"/>
      <c r="E201" s="29"/>
      <c r="F201" s="29"/>
      <c r="G201" s="29"/>
      <c r="H201" s="29"/>
      <c r="I201" s="30"/>
      <c r="Q201" s="50" t="s">
        <v>94</v>
      </c>
    </row>
    <row r="202" spans="1:32" x14ac:dyDescent="0.25">
      <c r="A202" s="87"/>
      <c r="B202" s="29"/>
      <c r="C202" s="29"/>
      <c r="D202" s="29"/>
      <c r="E202" s="29"/>
      <c r="F202" s="29"/>
      <c r="G202" s="29"/>
      <c r="H202" s="29"/>
      <c r="I202" s="30"/>
      <c r="Q202" s="16" t="s">
        <v>1</v>
      </c>
      <c r="T202" s="16">
        <f>+C28</f>
        <v>80</v>
      </c>
      <c r="U202" s="16" t="s">
        <v>0</v>
      </c>
      <c r="V202" s="16" t="s">
        <v>52</v>
      </c>
      <c r="W202" s="51"/>
    </row>
    <row r="203" spans="1:32" ht="18" x14ac:dyDescent="0.35">
      <c r="A203" s="87"/>
      <c r="B203" s="29"/>
      <c r="C203" s="29"/>
      <c r="D203" s="29"/>
      <c r="E203" s="29"/>
      <c r="F203" s="29"/>
      <c r="G203" s="29"/>
      <c r="H203" s="29"/>
      <c r="I203" s="30"/>
      <c r="Q203" s="16" t="s">
        <v>90</v>
      </c>
      <c r="T203" s="16">
        <f>MIN(T202,13)</f>
        <v>13</v>
      </c>
      <c r="U203" s="16" t="s">
        <v>0</v>
      </c>
      <c r="V203" s="16" t="s">
        <v>91</v>
      </c>
      <c r="W203" s="51"/>
    </row>
    <row r="204" spans="1:32" x14ac:dyDescent="0.25">
      <c r="A204" s="87"/>
      <c r="B204" s="29"/>
      <c r="C204" s="29"/>
      <c r="D204" s="29"/>
      <c r="E204" s="29"/>
      <c r="F204" s="29"/>
      <c r="G204" s="29"/>
      <c r="H204" s="29"/>
      <c r="I204" s="30"/>
      <c r="Q204" s="16" t="s">
        <v>92</v>
      </c>
      <c r="R204" s="51"/>
      <c r="T204" s="51">
        <f>2*(1.4142*C19+C17/2+T203)</f>
        <v>88.425999999999988</v>
      </c>
      <c r="U204" s="16" t="s">
        <v>0</v>
      </c>
      <c r="V204" s="51"/>
      <c r="W204" s="51"/>
    </row>
    <row r="205" spans="1:32" ht="17.25" x14ac:dyDescent="0.25">
      <c r="A205" s="87"/>
      <c r="B205" s="29"/>
      <c r="C205" s="29"/>
      <c r="D205" s="29"/>
      <c r="E205" s="29"/>
      <c r="F205" s="29"/>
      <c r="G205" s="29"/>
      <c r="H205" s="29"/>
      <c r="I205" s="30"/>
      <c r="Q205" s="16" t="s">
        <v>85</v>
      </c>
      <c r="R205" s="51"/>
      <c r="S205" s="51"/>
      <c r="T205" s="51">
        <f>+T204*T202</f>
        <v>7074.079999999999</v>
      </c>
      <c r="U205" s="16" t="s">
        <v>34</v>
      </c>
    </row>
    <row r="206" spans="1:32" ht="18.75" x14ac:dyDescent="0.35">
      <c r="A206" s="87"/>
      <c r="B206" s="29"/>
      <c r="C206" s="29"/>
      <c r="D206" s="29"/>
      <c r="E206" s="29"/>
      <c r="F206" s="29"/>
      <c r="G206" s="29"/>
      <c r="H206" s="29"/>
      <c r="I206" s="30"/>
      <c r="Q206" s="16" t="s">
        <v>60</v>
      </c>
      <c r="R206" s="16">
        <f>2*(C10*1000)^0.5</f>
        <v>126.49110640673517</v>
      </c>
      <c r="S206" s="16" t="s">
        <v>5</v>
      </c>
      <c r="AB206" s="16" t="s">
        <v>86</v>
      </c>
      <c r="AE206" s="16">
        <f>+R209/T205*1000</f>
        <v>14.640151305646988</v>
      </c>
      <c r="AF206" s="16" t="s">
        <v>5</v>
      </c>
    </row>
    <row r="207" spans="1:32" ht="18.75" x14ac:dyDescent="0.35">
      <c r="A207" s="87"/>
      <c r="B207" s="29"/>
      <c r="C207" s="29"/>
      <c r="D207" s="29"/>
      <c r="E207" s="29"/>
      <c r="F207" s="29"/>
      <c r="G207" s="29"/>
      <c r="H207" s="29"/>
      <c r="I207" s="30"/>
      <c r="Q207" s="16" t="s">
        <v>7</v>
      </c>
      <c r="R207" s="16">
        <f>+R206*T205/1000</f>
        <v>894.80820600975699</v>
      </c>
      <c r="S207" s="16" t="s">
        <v>8</v>
      </c>
      <c r="T207" s="16" t="s">
        <v>93</v>
      </c>
    </row>
    <row r="208" spans="1:32" ht="18" x14ac:dyDescent="0.35">
      <c r="A208" s="88"/>
      <c r="B208" s="85"/>
      <c r="C208" s="85"/>
      <c r="D208" s="85"/>
      <c r="E208" s="85"/>
      <c r="F208" s="85"/>
      <c r="G208" s="85"/>
      <c r="H208" s="85"/>
      <c r="I208" s="86"/>
      <c r="Q208" s="16" t="s">
        <v>12</v>
      </c>
      <c r="R208" s="16">
        <f>+R207*0.75</f>
        <v>671.1061545073178</v>
      </c>
      <c r="S208" s="16" t="s">
        <v>8</v>
      </c>
    </row>
    <row r="209" spans="1:20" ht="18" x14ac:dyDescent="0.35">
      <c r="Q209" s="16" t="s">
        <v>57</v>
      </c>
      <c r="R209" s="16">
        <f>C7*C14-C7*(T204*0.7071/12*T204*0.7071/2/12)*C21/12*0.15</f>
        <v>103.56560154825122</v>
      </c>
      <c r="S209" s="16" t="s">
        <v>8</v>
      </c>
      <c r="T209" s="16" t="s">
        <v>344</v>
      </c>
    </row>
    <row r="210" spans="1:20" ht="18" x14ac:dyDescent="0.35">
      <c r="Q210" s="16" t="s">
        <v>14</v>
      </c>
      <c r="R210" s="16">
        <f>+R209/R208</f>
        <v>0.15432074471777465</v>
      </c>
    </row>
    <row r="215" spans="1:20" ht="18.75" x14ac:dyDescent="0.3">
      <c r="A215" s="50"/>
    </row>
    <row r="217" spans="1:20" x14ac:dyDescent="0.25">
      <c r="B217" s="51"/>
      <c r="D217" s="51"/>
    </row>
    <row r="218" spans="1:20" x14ac:dyDescent="0.25">
      <c r="B218" s="51"/>
      <c r="D218" s="51"/>
    </row>
    <row r="219" spans="1:20" x14ac:dyDescent="0.25">
      <c r="D219" s="51"/>
      <c r="F219" s="51"/>
    </row>
    <row r="220" spans="1:20" x14ac:dyDescent="0.25">
      <c r="D220" s="51"/>
      <c r="F220" s="51"/>
    </row>
    <row r="221" spans="1:20" x14ac:dyDescent="0.25">
      <c r="B221" s="51"/>
      <c r="C221" s="51"/>
      <c r="D221" s="51"/>
      <c r="E221" s="51"/>
      <c r="F221" s="51"/>
    </row>
    <row r="222" spans="1:20" x14ac:dyDescent="0.25">
      <c r="B222" s="51"/>
      <c r="C222" s="51"/>
      <c r="D222" s="51"/>
      <c r="E222" s="51"/>
      <c r="F222" s="51"/>
    </row>
    <row r="223" spans="1:20" x14ac:dyDescent="0.25">
      <c r="B223" s="51"/>
      <c r="C223" s="51"/>
      <c r="D223" s="51"/>
      <c r="E223" s="51"/>
    </row>
    <row r="227" spans="1:1" ht="18.75" x14ac:dyDescent="0.3">
      <c r="A227" s="50"/>
    </row>
  </sheetData>
  <dataValidations count="9">
    <dataValidation type="list" allowBlank="1" showInputMessage="1" showErrorMessage="1" error="Not permitted!" sqref="C8">
      <formula1>$M$1:$M$3</formula1>
    </dataValidation>
    <dataValidation type="list" allowBlank="1" showInputMessage="1" showErrorMessage="1" error="Not Permitted!" sqref="C24:C25">
      <formula1>$O$1:$O$10</formula1>
    </dataValidation>
    <dataValidation type="list" allowBlank="1" showInputMessage="1" showErrorMessage="1" error="Invalid Entry!" sqref="C9">
      <formula1>$N$1:$N$2</formula1>
    </dataValidation>
    <dataValidation type="list" allowBlank="1" showInputMessage="1" showErrorMessage="1" sqref="C16">
      <formula1>$O$11:$O$13</formula1>
    </dataValidation>
    <dataValidation type="decimal" allowBlank="1" showInputMessage="1" showErrorMessage="1" sqref="C18">
      <formula1>MAX(3,2+C17/12,3*C17/12)</formula1>
      <formula2>12</formula2>
    </dataValidation>
    <dataValidation type="decimal" allowBlank="1" showInputMessage="1" showErrorMessage="1" error="Invalid Entry" sqref="C13">
      <formula1>20</formula1>
      <formula2>550</formula2>
    </dataValidation>
    <dataValidation type="decimal" allowBlank="1" showInputMessage="1" showErrorMessage="1" error="Outside permitted range!" sqref="C12">
      <formula1>3</formula1>
      <formula2>24</formula2>
    </dataValidation>
    <dataValidation type="decimal" allowBlank="1" showInputMessage="1" showErrorMessage="1" error="Outside range!" sqref="C11">
      <formula1>40</formula1>
      <formula2>80</formula2>
    </dataValidation>
    <dataValidation type="list" allowBlank="1" showInputMessage="1" showErrorMessage="1" error="Outside of permitted range!" sqref="C10">
      <formula1>$J$1:$J$4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4" max="16383" man="1"/>
    <brk id="85" max="16383" man="1"/>
    <brk id="126" max="16383" man="1"/>
    <brk id="167" max="16383" man="1"/>
    <brk id="208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27</vt:i4>
      </vt:variant>
    </vt:vector>
  </HeadingPairs>
  <TitlesOfParts>
    <vt:vector size="54" baseType="lpstr">
      <vt:lpstr>Doc</vt:lpstr>
      <vt:lpstr>2 Pile Cap</vt:lpstr>
      <vt:lpstr>3 Pile Cap</vt:lpstr>
      <vt:lpstr>4 Pile Cap</vt:lpstr>
      <vt:lpstr>5 Pile Cap</vt:lpstr>
      <vt:lpstr>6 Pile Cap</vt:lpstr>
      <vt:lpstr>7 Pile Cap</vt:lpstr>
      <vt:lpstr>8 Pile Cap</vt:lpstr>
      <vt:lpstr>9 Pile Cap</vt:lpstr>
      <vt:lpstr>10 Pile Cap</vt:lpstr>
      <vt:lpstr>11 Pile Cap</vt:lpstr>
      <vt:lpstr>12 Pile Cap</vt:lpstr>
      <vt:lpstr>13 Pile Cap</vt:lpstr>
      <vt:lpstr>14 Pile Cap</vt:lpstr>
      <vt:lpstr>15 Pile Cap</vt:lpstr>
      <vt:lpstr>16 Pile Cap</vt:lpstr>
      <vt:lpstr>17 Pile Cap</vt:lpstr>
      <vt:lpstr>18 Pile Cap</vt:lpstr>
      <vt:lpstr>19 Pile Cap</vt:lpstr>
      <vt:lpstr>20 Pile Cap</vt:lpstr>
      <vt:lpstr>21 Pile Cap</vt:lpstr>
      <vt:lpstr>22 Pile Cap</vt:lpstr>
      <vt:lpstr>23 Pile Cap</vt:lpstr>
      <vt:lpstr>24 Pile Cap</vt:lpstr>
      <vt:lpstr>26 Pile Cap</vt:lpstr>
      <vt:lpstr>28 Pile Cap</vt:lpstr>
      <vt:lpstr>30 Pile Cap</vt:lpstr>
      <vt:lpstr>'10 Pile Cap'!Print_Area</vt:lpstr>
      <vt:lpstr>'11 Pile Cap'!Print_Area</vt:lpstr>
      <vt:lpstr>'12 Pile Cap'!Print_Area</vt:lpstr>
      <vt:lpstr>'13 Pile Cap'!Print_Area</vt:lpstr>
      <vt:lpstr>'14 Pile Cap'!Print_Area</vt:lpstr>
      <vt:lpstr>'15 Pile Cap'!Print_Area</vt:lpstr>
      <vt:lpstr>'16 Pile Cap'!Print_Area</vt:lpstr>
      <vt:lpstr>'17 Pile Cap'!Print_Area</vt:lpstr>
      <vt:lpstr>'18 Pile Cap'!Print_Area</vt:lpstr>
      <vt:lpstr>'19 Pile Cap'!Print_Area</vt:lpstr>
      <vt:lpstr>'2 Pile Cap'!Print_Area</vt:lpstr>
      <vt:lpstr>'20 Pile Cap'!Print_Area</vt:lpstr>
      <vt:lpstr>'21 Pile Cap'!Print_Area</vt:lpstr>
      <vt:lpstr>'22 Pile Cap'!Print_Area</vt:lpstr>
      <vt:lpstr>'23 Pile Cap'!Print_Area</vt:lpstr>
      <vt:lpstr>'24 Pile Cap'!Print_Area</vt:lpstr>
      <vt:lpstr>'26 Pile Cap'!Print_Area</vt:lpstr>
      <vt:lpstr>'28 Pile Cap'!Print_Area</vt:lpstr>
      <vt:lpstr>'3 Pile Cap'!Print_Area</vt:lpstr>
      <vt:lpstr>'30 Pile Cap'!Print_Area</vt:lpstr>
      <vt:lpstr>'4 Pile Cap'!Print_Area</vt:lpstr>
      <vt:lpstr>'5 Pile Cap'!Print_Area</vt:lpstr>
      <vt:lpstr>'6 Pile Cap'!Print_Area</vt:lpstr>
      <vt:lpstr>'7 Pile Cap'!Print_Area</vt:lpstr>
      <vt:lpstr>'8 Pile Cap'!Print_Area</vt:lpstr>
      <vt:lpstr>'9 Pile Cap'!Print_Area</vt:lpstr>
      <vt:lpstr>Doc!Print_Area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"CRSI-PILECAP" Rrogram</dc:title>
  <dc:subject>Rigid Pile Cap Design Using CRSI Configurations</dc:subject>
  <dc:creator>Tim Mays, Ph.D, P.E.</dc:creator>
  <cp:lastModifiedBy>Fluor</cp:lastModifiedBy>
  <cp:lastPrinted>2015-01-28T17:53:52Z</cp:lastPrinted>
  <dcterms:created xsi:type="dcterms:W3CDTF">2013-10-19T17:04:24Z</dcterms:created>
  <dcterms:modified xsi:type="dcterms:W3CDTF">2015-01-28T18:09:13Z</dcterms:modified>
  <cp:category>Structural Engineering Analysis/Design</cp:category>
</cp:coreProperties>
</file>